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<sst xmlns="http://schemas.openxmlformats.org/spreadsheetml/2006/main" count="902" uniqueCount="805">
  <si>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</si>
  <si>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</si>
  <si>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</si>
  <si>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</si>
  <si>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</si>
  <si>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</si>
  <si>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</si>
  <si>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</si>
  <si>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</si>
  <si>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</si>
  <si>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</si>
  <si>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</si>
  <si>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</si>
  <si>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</si>
  <si>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</si>
  <si>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</si>
  <si>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</si>
  <si>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</si>
  <si>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</si>
  <si>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</si>
  <si>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</si>
  <si>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</si>
  <si>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</si>
  <si>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</si>
  <si>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</si>
  <si>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</si>
  <si>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</si>
  <si>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</si>
  <si>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</si>
  <si>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</si>
  <si>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</si>
  <si>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</si>
  <si>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</si>
  <si>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</si>
  <si>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</si>
  <si>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</si>
  <si>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</si>
  <si>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</si>
  <si>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</si>
  <si>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</si>
  <si>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</si>
  <si>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</si>
  <si>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</si>
  <si>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</si>
  <si>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</si>
  <si>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</si>
  <si>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</si>
  <si>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</si>
  <si>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</si>
  <si>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</si>
  <si>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</si>
  <si>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</si>
  <si>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</si>
  <si>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</si>
  <si>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</si>
  <si>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</si>
  <si>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</si>
  <si>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</si>
  <si>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</si>
  <si>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</si>
  <si>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</si>
  <si>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</si>
  <si>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</si>
  <si>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</si>
  <si>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</si>
  <si>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</si>
  <si>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</si>
  <si>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</si>
  <si>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</si>
  <si>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</si>
  <si>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</si>
  <si>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</si>
  <si>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</si>
  <si>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</si>
  <si>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</si>
  <si>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</si>
  <si>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</si>
  <si>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</si>
  <si>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</si>
  <si>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</si>
  <si>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</si>
  <si>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</si>
  <si>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</si>
  <si>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</si>
  <si>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</si>
  <si>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</si>
  <si>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</si>
  <si>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</si>
  <si>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</si>
  <si>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</si>
  <si>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</si>
  <si>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</si>
  <si>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</si>
  <si>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</si>
  <si>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</si>
  <si>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</si>
  <si>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</si>
  <si>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</si>
  <si>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</si>
  <si>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</si>
  <si>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</si>
  <si>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</si>
  <si>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</si>
  <si>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</si>
  <si>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</si>
  <si>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</si>
  <si>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</si>
  <si>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</si>
  <si>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</si>
  <si>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</si>
  <si>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</si>
  <si>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</si>
  <si>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</si>
  <si>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</si>
  <si>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</si>
  <si>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</si>
  <si>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</si>
  <si>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</si>
  <si>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</si>
  <si>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</si>
  <si>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</si>
  <si>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</si>
  <si>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</si>
  <si>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</si>
  <si>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</si>
  <si>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</si>
  <si>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</si>
  <si>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</si>
  <si>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</si>
  <si>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</si>
  <si>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</si>
  <si>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</si>
  <si>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</si>
  <si>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</si>
  <si>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</si>
  <si>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</si>
  <si>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</si>
  <si>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</si>
  <si>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</si>
  <si>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</si>
  <si>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</si>
  <si>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</si>
  <si>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</si>
  <si>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</si>
  <si>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</si>
  <si>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</si>
  <si>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</si>
  <si>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</si>
  <si>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</si>
  <si>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</si>
  <si>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</si>
  <si>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</si>
  <si>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</si>
  <si>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</si>
  <si>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</si>
  <si>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</si>
  <si>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</si>
  <si>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</si>
  <si>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</si>
  <si>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</si>
  <si>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</si>
  <si>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</si>
  <si>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</si>
  <si>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</si>
  <si>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</si>
  <si>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</si>
  <si>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</si>
  <si>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</si>
  <si>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</si>
  <si>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</si>
  <si>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</si>
  <si>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</si>
  <si>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</si>
  <si>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</si>
  <si>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</si>
  <si>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</si>
  <si>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</si>
  <si>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</si>
  <si>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</si>
  <si>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</si>
  <si>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</si>
  <si>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</si>
  <si>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</si>
  <si>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</si>
  <si>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</si>
  <si>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</si>
  <si>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</si>
  <si>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</si>
  <si>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</si>
  <si>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</si>
  <si>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</si>
  <si>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</si>
  <si>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</si>
  <si>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</si>
  <si>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</si>
  <si>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</si>
  <si>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</si>
  <si>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</si>
  <si>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</si>
  <si>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</si>
  <si>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</si>
  <si>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</si>
  <si>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</si>
  <si>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</si>
  <si>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</si>
  <si>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</si>
  <si>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</si>
  <si>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</si>
  <si>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</si>
  <si>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</si>
  <si>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</si>
  <si>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</si>
  <si>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</si>
  <si>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</si>
  <si>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</si>
  <si>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</si>
  <si>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</si>
  <si>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</si>
  <si>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</si>
  <si>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</si>
  <si>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</si>
  <si>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</si>
  <si>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</si>
  <si>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</si>
  <si>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</si>
  <si>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</si>
  <si>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</si>
  <si>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</si>
  <si>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</si>
  <si>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</si>
  <si>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</si>
  <si>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</si>
  <si>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</si>
  <si>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</si>
  <si>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</si>
  <si>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</si>
  <si>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</si>
  <si>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</si>
  <si>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</si>
  <si>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</si>
  <si>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</si>
  <si>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</si>
  <si>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</si>
  <si>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</si>
  <si>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</si>
  <si>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</si>
  <si>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</si>
  <si>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</si>
  <si>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</si>
  <si>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</si>
  <si>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</si>
  <si>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</si>
  <si>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</si>
  <si>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</si>
  <si>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</si>
  <si>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</si>
  <si>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</si>
  <si>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</si>
  <si>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</si>
  <si>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</si>
  <si>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</si>
  <si>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</si>
  <si>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</si>
  <si>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</si>
  <si>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</si>
  <si>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</si>
  <si>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</si>
  <si>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</si>
  <si>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</si>
  <si>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</si>
  <si>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</si>
  <si>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</si>
  <si>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</si>
  <si>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</si>
  <si>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</si>
  <si>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</si>
  <si>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</si>
  <si>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</si>
  <si>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</si>
  <si>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</si>
  <si>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</si>
  <si>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</si>
  <si>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</si>
  <si>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</si>
  <si>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</si>
  <si>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</si>
  <si>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</si>
  <si>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</si>
  <si>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</si>
  <si>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</si>
  <si>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</si>
  <si>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</si>
  <si>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</si>
  <si>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</si>
  <si>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</si>
  <si>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</si>
  <si>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</si>
  <si>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</si>
  <si>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</si>
  <si>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</si>
  <si>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</si>
  <si>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</si>
  <si>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</si>
  <si>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</si>
  <si>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</si>
  <si>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</si>
  <si>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</si>
  <si>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</si>
  <si>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</si>
  <si>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</si>
  <si>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</si>
  <si>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</si>
  <si>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</si>
  <si>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</si>
  <si>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</si>
  <si>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</si>
  <si>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</si>
  <si>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</si>
  <si>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</si>
  <si>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</si>
  <si>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</si>
  <si>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</si>
  <si>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</si>
  <si>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</si>
  <si>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</si>
  <si>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</si>
  <si>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</si>
  <si>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</si>
  <si>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</si>
  <si>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</si>
  <si>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</si>
  <si>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</si>
  <si>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</si>
  <si>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</si>
  <si>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</si>
  <si>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</si>
  <si>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</si>
  <si>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</si>
  <si>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</si>
  <si>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</si>
  <si>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</si>
  <si>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</si>
  <si>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</si>
  <si>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</si>
  <si>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</si>
  <si>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</si>
  <si>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</si>
  <si>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</si>
  <si>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</si>
  <si>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</si>
  <si>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</si>
  <si>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</si>
  <si>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</si>
  <si>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</si>
  <si>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</si>
  <si>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</si>
  <si>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</si>
  <si>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</si>
  <si>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</si>
  <si>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</si>
  <si>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</si>
  <si>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</si>
  <si>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</si>
  <si>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</si>
  <si>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</si>
  <si>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</si>
  <si>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</si>
  <si>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</si>
  <si>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</si>
  <si>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</si>
  <si>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</si>
  <si>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</si>
  <si>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</si>
  <si>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</si>
  <si>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</si>
  <si>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</si>
  <si>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</si>
  <si>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</si>
  <si>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</si>
  <si>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</si>
  <si>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</si>
  <si>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</si>
  <si>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</si>
  <si>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</si>
  <si>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</si>
  <si>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</si>
  <si>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</si>
  <si>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</si>
  <si>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</si>
  <si>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</si>
  <si>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</si>
  <si>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</si>
  <si>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</si>
  <si>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</si>
  <si>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</si>
  <si>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</si>
  <si>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</si>
  <si>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</si>
  <si>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</si>
  <si>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</si>
  <si>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</si>
  <si>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</si>
  <si>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</si>
  <si>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</si>
  <si>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</si>
  <si>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</si>
  <si>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</si>
  <si>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</si>
  <si>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</si>
  <si>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</si>
  <si>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</si>
  <si>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</si>
  <si>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</si>
  <si>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</si>
  <si>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</si>
  <si>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</si>
  <si>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</si>
  <si>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</si>
  <si>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</si>
  <si>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</si>
  <si>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</si>
  <si>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</si>
  <si>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</si>
  <si>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</si>
  <si>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</si>
  <si>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</si>
  <si>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</si>
  <si>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</si>
  <si>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</si>
  <si>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</si>
  <si>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</si>
  <si>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</si>
  <si>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</si>
  <si>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</si>
  <si>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</si>
  <si>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</si>
  <si>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</si>
  <si>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</si>
  <si>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</si>
  <si>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</si>
  <si>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</si>
  <si>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</si>
  <si>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</si>
  <si>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</si>
  <si>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</si>
  <si>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</si>
  <si>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</si>
  <si>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</si>
  <si>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</si>
  <si>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</si>
  <si>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</si>
  <si>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</si>
  <si>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</si>
  <si>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</si>
  <si>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</si>
  <si>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</si>
  <si>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</si>
  <si>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</si>
  <si>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</si>
  <si>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</si>
  <si>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</si>
  <si>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</si>
  <si>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</si>
  <si>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</si>
  <si>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</si>
  <si>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</si>
  <si>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</si>
  <si>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</si>
  <si>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Профінансовано станом на 07.06.2016</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</si>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</sst>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6"/>
      <name val="Tahoma"/>
      <family val="2"/>
    </font>
    <font>
      <sz val="16"/>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3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0" fontId="4" fillId="0" borderId="21" xfId="0" applyFont="1" applyFill="1" applyBorder="1" applyAlignment="1">
      <alignment horizontal="center" vertical="top" wrapText="1"/>
    </xf>
    <xf numFmtId="4" fontId="26" fillId="4" borderId="10" xfId="0" applyNumberFormat="1" applyFont="1" applyFill="1" applyBorder="1" applyAlignment="1">
      <alignment horizontal="center" vertical="center"/>
    </xf>
    <xf numFmtId="49" fontId="4" fillId="0" borderId="21" xfId="0" applyNumberFormat="1" applyFont="1" applyFill="1" applyBorder="1" applyAlignment="1">
      <alignment horizontal="center" vertical="top" wrapText="1"/>
    </xf>
    <xf numFmtId="0" fontId="23" fillId="0" borderId="22" xfId="0" applyFont="1" applyFill="1" applyBorder="1" applyAlignment="1">
      <alignment vertical="top" wrapText="1"/>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180" fontId="23" fillId="0" borderId="22" xfId="0" applyNumberFormat="1" applyFont="1" applyFill="1" applyBorder="1" applyAlignment="1" applyProtection="1">
      <alignment horizontal="left" vertical="center" wrapText="1"/>
      <protection/>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43" fillId="0" borderId="0" xfId="0" applyNumberFormat="1" applyFont="1" applyFill="1" applyAlignment="1" applyProtection="1">
      <alignment horizontal="center"/>
      <protection/>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0" fontId="12" fillId="0" borderId="22" xfId="0" applyFont="1" applyFill="1" applyBorder="1" applyAlignment="1">
      <alignment horizontal="center" vertical="top" wrapText="1"/>
    </xf>
    <xf numFmtId="0" fontId="12" fillId="0" borderId="23" xfId="0" applyFont="1" applyFill="1" applyBorder="1" applyAlignment="1">
      <alignment horizontal="center" vertical="top" wrapText="1"/>
    </xf>
    <xf numFmtId="49" fontId="12" fillId="0" borderId="22" xfId="0" applyNumberFormat="1" applyFont="1" applyBorder="1" applyAlignment="1">
      <alignment horizontal="center" vertical="top" wrapText="1"/>
    </xf>
    <xf numFmtId="49" fontId="12" fillId="0" borderId="23"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4" fontId="12" fillId="20" borderId="17" xfId="82" applyNumberFormat="1" applyFont="1" applyFill="1" applyBorder="1" applyAlignment="1">
      <alignment horizontal="center" vertical="center" wrapText="1"/>
      <protection/>
    </xf>
    <xf numFmtId="4" fontId="12" fillId="20" borderId="24"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4"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4"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4"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4"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4"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9"/>
  <sheetViews>
    <sheetView tabSelected="1" zoomScale="70" zoomScaleNormal="70" zoomScalePageLayoutView="0" workbookViewId="0" topLeftCell="D1">
      <pane ySplit="1" topLeftCell="BM2" activePane="bottomLeft" state="frozen"/>
      <selection pane="topLeft" activeCell="D1" sqref="D1"/>
      <selection pane="bottomLeft" activeCell="D767" sqref="A767:IV77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660156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7" t="s">
        <v>648</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603</v>
      </c>
    </row>
    <row r="3" spans="1:35" ht="93" customHeight="1">
      <c r="A3" s="12"/>
      <c r="B3" s="1" t="s">
        <v>230</v>
      </c>
      <c r="C3" s="1" t="s">
        <v>604</v>
      </c>
      <c r="D3" s="271" t="s">
        <v>645</v>
      </c>
      <c r="E3" s="272" t="s">
        <v>647</v>
      </c>
      <c r="F3" s="291" t="s">
        <v>595</v>
      </c>
      <c r="G3" s="293" t="s">
        <v>602</v>
      </c>
      <c r="H3" s="289" t="s">
        <v>546</v>
      </c>
      <c r="I3" s="289" t="s">
        <v>222</v>
      </c>
      <c r="J3" s="289" t="s">
        <v>642</v>
      </c>
      <c r="K3" s="295" t="s">
        <v>198</v>
      </c>
      <c r="L3" s="295" t="s">
        <v>199</v>
      </c>
      <c r="M3" s="301" t="s">
        <v>607</v>
      </c>
      <c r="N3" s="308" t="s">
        <v>676</v>
      </c>
      <c r="O3" s="303" t="s">
        <v>677</v>
      </c>
      <c r="P3" s="304"/>
      <c r="Q3" s="304"/>
      <c r="R3" s="304"/>
      <c r="S3" s="305"/>
      <c r="T3" s="305"/>
      <c r="U3" s="306"/>
      <c r="V3" s="275" t="s">
        <v>589</v>
      </c>
      <c r="W3" s="297" t="s">
        <v>678</v>
      </c>
      <c r="X3" s="275" t="s">
        <v>679</v>
      </c>
      <c r="Y3" s="275" t="s">
        <v>680</v>
      </c>
      <c r="Z3" s="275" t="s">
        <v>681</v>
      </c>
      <c r="AA3" s="275" t="s">
        <v>689</v>
      </c>
      <c r="AB3" s="275" t="s">
        <v>682</v>
      </c>
      <c r="AC3" s="275" t="s">
        <v>683</v>
      </c>
      <c r="AD3" s="275" t="s">
        <v>684</v>
      </c>
      <c r="AE3" s="275" t="s">
        <v>685</v>
      </c>
      <c r="AF3" s="275" t="s">
        <v>686</v>
      </c>
      <c r="AG3" s="275" t="s">
        <v>687</v>
      </c>
      <c r="AH3" s="275" t="s">
        <v>688</v>
      </c>
      <c r="AI3" s="275" t="s">
        <v>468</v>
      </c>
    </row>
    <row r="4" spans="1:35" ht="63">
      <c r="A4" s="12"/>
      <c r="B4" s="1"/>
      <c r="C4" s="32"/>
      <c r="D4" s="271"/>
      <c r="E4" s="272"/>
      <c r="F4" s="292"/>
      <c r="G4" s="294"/>
      <c r="H4" s="290"/>
      <c r="I4" s="290"/>
      <c r="J4" s="290"/>
      <c r="K4" s="296"/>
      <c r="L4" s="296"/>
      <c r="M4" s="302"/>
      <c r="N4" s="309"/>
      <c r="O4" s="33" t="s">
        <v>319</v>
      </c>
      <c r="P4" s="33" t="s">
        <v>322</v>
      </c>
      <c r="Q4" s="33" t="s">
        <v>503</v>
      </c>
      <c r="R4" s="33" t="s">
        <v>351</v>
      </c>
      <c r="S4" s="33" t="s">
        <v>113</v>
      </c>
      <c r="T4" s="33" t="s">
        <v>506</v>
      </c>
      <c r="U4" s="33"/>
      <c r="V4" s="275"/>
      <c r="W4" s="298"/>
      <c r="X4" s="275"/>
      <c r="Y4" s="275"/>
      <c r="Z4" s="275"/>
      <c r="AA4" s="275"/>
      <c r="AB4" s="275"/>
      <c r="AC4" s="275"/>
      <c r="AD4" s="275"/>
      <c r="AE4" s="275"/>
      <c r="AF4" s="275"/>
      <c r="AG4" s="275"/>
      <c r="AH4" s="275"/>
      <c r="AI4" s="275"/>
    </row>
    <row r="5" spans="1:35" s="14" customFormat="1" ht="56.25">
      <c r="A5" s="13"/>
      <c r="B5" s="25" t="s">
        <v>235</v>
      </c>
      <c r="C5" s="8"/>
      <c r="D5" s="75"/>
      <c r="E5" s="76"/>
      <c r="F5" s="77" t="s">
        <v>228</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378707.70999999996</v>
      </c>
    </row>
    <row r="6" spans="1:35" s="14" customFormat="1" ht="18.75">
      <c r="A6" s="13"/>
      <c r="B6" s="25"/>
      <c r="C6" s="25"/>
      <c r="D6" s="273" t="s">
        <v>236</v>
      </c>
      <c r="E6" s="273" t="s">
        <v>646</v>
      </c>
      <c r="F6" s="287" t="s">
        <v>237</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320090.11</v>
      </c>
    </row>
    <row r="7" spans="1:35" s="14" customFormat="1" ht="75">
      <c r="A7" s="13"/>
      <c r="B7" s="38"/>
      <c r="C7" s="38"/>
      <c r="D7" s="274"/>
      <c r="E7" s="274"/>
      <c r="F7" s="288"/>
      <c r="G7" s="88" t="s">
        <v>672</v>
      </c>
      <c r="H7" s="86"/>
      <c r="I7" s="89"/>
      <c r="J7" s="90"/>
      <c r="K7" s="86"/>
      <c r="L7" s="86"/>
      <c r="M7" s="86"/>
      <c r="N7" s="91">
        <v>3110</v>
      </c>
      <c r="O7" s="86"/>
      <c r="P7" s="86"/>
      <c r="Q7" s="46">
        <f>400000+100000</f>
        <v>500000</v>
      </c>
      <c r="R7" s="46"/>
      <c r="S7" s="251" t="s">
        <v>673</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74"/>
      <c r="E8" s="274"/>
      <c r="F8" s="288"/>
      <c r="G8" s="88" t="s">
        <v>323</v>
      </c>
      <c r="H8" s="86"/>
      <c r="I8" s="89"/>
      <c r="J8" s="90"/>
      <c r="K8" s="86"/>
      <c r="L8" s="86"/>
      <c r="M8" s="86"/>
      <c r="N8" s="91">
        <v>3110</v>
      </c>
      <c r="O8" s="86"/>
      <c r="P8" s="86"/>
      <c r="Q8" s="46">
        <v>200000</v>
      </c>
      <c r="R8" s="46"/>
      <c r="S8" s="46"/>
      <c r="T8" s="46"/>
      <c r="U8" s="46"/>
      <c r="V8" s="46">
        <v>200000</v>
      </c>
      <c r="W8" s="46"/>
      <c r="X8" s="46"/>
      <c r="Y8" s="46"/>
      <c r="Z8" s="46"/>
      <c r="AA8" s="46"/>
      <c r="AB8" s="46"/>
      <c r="AC8" s="46">
        <v>200000</v>
      </c>
      <c r="AD8" s="46"/>
      <c r="AE8" s="46"/>
      <c r="AF8" s="46"/>
      <c r="AG8" s="46"/>
      <c r="AH8" s="46"/>
      <c r="AI8" s="46"/>
    </row>
    <row r="9" spans="1:35" s="14" customFormat="1" ht="56.25">
      <c r="A9" s="13"/>
      <c r="B9" s="38"/>
      <c r="C9" s="38"/>
      <c r="D9" s="274"/>
      <c r="E9" s="274"/>
      <c r="F9" s="288"/>
      <c r="G9" s="88" t="s">
        <v>324</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74"/>
      <c r="E10" s="274"/>
      <c r="F10" s="288"/>
      <c r="G10" s="88" t="s">
        <v>325</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74"/>
      <c r="E11" s="274"/>
      <c r="F11" s="288"/>
      <c r="G11" s="88" t="s">
        <v>326</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74"/>
      <c r="E12" s="274"/>
      <c r="F12" s="288"/>
      <c r="G12" s="88" t="s">
        <v>633</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74"/>
      <c r="E13" s="274"/>
      <c r="F13" s="288"/>
      <c r="G13" s="88" t="s">
        <v>671</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c r="AC13" s="46"/>
      <c r="AD13" s="46"/>
      <c r="AE13" s="46"/>
      <c r="AF13" s="46"/>
      <c r="AG13" s="46">
        <f>300000-300000+50500</f>
        <v>50500</v>
      </c>
      <c r="AH13" s="46">
        <f>360132-125132</f>
        <v>235000</v>
      </c>
      <c r="AI13" s="46"/>
    </row>
    <row r="14" spans="1:35" s="14" customFormat="1" ht="112.5">
      <c r="A14" s="13"/>
      <c r="B14" s="38"/>
      <c r="C14" s="38"/>
      <c r="D14" s="274"/>
      <c r="E14" s="274"/>
      <c r="F14" s="288"/>
      <c r="G14" s="88" t="s">
        <v>327</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74"/>
      <c r="E15" s="274"/>
      <c r="F15" s="288"/>
      <c r="G15" s="52" t="s">
        <v>328</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74"/>
      <c r="E16" s="274"/>
      <c r="F16" s="288"/>
      <c r="G16" s="52" t="s">
        <v>280</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74"/>
      <c r="E17" s="274"/>
      <c r="F17" s="288"/>
      <c r="G17" s="52" t="s">
        <v>281</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74"/>
      <c r="E18" s="274"/>
      <c r="F18" s="288"/>
      <c r="G18" s="52" t="s">
        <v>282</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f>
        <v>965000</v>
      </c>
      <c r="AC18" s="46">
        <v>50000</v>
      </c>
      <c r="AD18" s="46">
        <v>433600</v>
      </c>
      <c r="AE18" s="46">
        <v>36500</v>
      </c>
      <c r="AF18" s="46"/>
      <c r="AG18" s="46"/>
      <c r="AH18" s="46"/>
      <c r="AI18" s="46"/>
    </row>
    <row r="19" spans="1:35" s="14" customFormat="1" ht="75">
      <c r="A19" s="13"/>
      <c r="B19" s="38"/>
      <c r="C19" s="38"/>
      <c r="D19" s="274"/>
      <c r="E19" s="274"/>
      <c r="F19" s="288"/>
      <c r="G19" s="52" t="s">
        <v>283</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74"/>
      <c r="E20" s="274"/>
      <c r="F20" s="288"/>
      <c r="G20" s="52" t="s">
        <v>284</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74"/>
      <c r="E21" s="274"/>
      <c r="F21" s="288"/>
      <c r="G21" s="267" t="s">
        <v>507</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74"/>
      <c r="E22" s="274"/>
      <c r="F22" s="288"/>
      <c r="G22" s="250" t="s">
        <v>123</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9" t="s">
        <v>643</v>
      </c>
      <c r="E23" s="299" t="s">
        <v>775</v>
      </c>
      <c r="F23" s="300" t="s">
        <v>194</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58617.6</v>
      </c>
    </row>
    <row r="24" spans="1:35" s="14" customFormat="1" ht="150">
      <c r="A24" s="13"/>
      <c r="B24" s="38"/>
      <c r="C24" s="249"/>
      <c r="D24" s="299"/>
      <c r="E24" s="299"/>
      <c r="F24" s="300"/>
      <c r="G24" s="52" t="s">
        <v>776</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f>
        <v>58617.6</v>
      </c>
    </row>
    <row r="25" spans="1:35" s="14" customFormat="1" ht="18.75">
      <c r="A25" s="13"/>
      <c r="B25" s="25"/>
      <c r="C25" s="26"/>
      <c r="D25" s="273" t="s">
        <v>238</v>
      </c>
      <c r="E25" s="273" t="s">
        <v>183</v>
      </c>
      <c r="F25" s="287" t="s">
        <v>250</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74"/>
      <c r="E26" s="274"/>
      <c r="F26" s="288"/>
      <c r="G26" s="95" t="s">
        <v>754</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74"/>
      <c r="E27" s="274"/>
      <c r="F27" s="288"/>
      <c r="G27" s="95" t="s">
        <v>124</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590</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73" t="s">
        <v>236</v>
      </c>
      <c r="E29" s="273" t="s">
        <v>646</v>
      </c>
      <c r="F29" s="287" t="s">
        <v>237</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74"/>
      <c r="E30" s="274"/>
      <c r="F30" s="288"/>
      <c r="G30" s="94" t="s">
        <v>285</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74"/>
      <c r="E31" s="274"/>
      <c r="F31" s="288"/>
      <c r="G31" s="94" t="s">
        <v>286</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533</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13533989.530000001</v>
      </c>
      <c r="AK32" s="266"/>
    </row>
    <row r="33" spans="2:37" ht="18.75">
      <c r="B33" s="19"/>
      <c r="C33" s="9"/>
      <c r="D33" s="273" t="s">
        <v>236</v>
      </c>
      <c r="E33" s="273" t="s">
        <v>646</v>
      </c>
      <c r="F33" s="287" t="s">
        <v>237</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6"/>
    </row>
    <row r="34" spans="2:37" ht="37.5">
      <c r="B34" s="19"/>
      <c r="C34" s="9"/>
      <c r="D34" s="274"/>
      <c r="E34" s="274"/>
      <c r="F34" s="288"/>
      <c r="G34" s="108" t="s">
        <v>287</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6"/>
    </row>
    <row r="35" spans="2:37" ht="75">
      <c r="B35" s="19"/>
      <c r="C35" s="9"/>
      <c r="D35" s="274"/>
      <c r="E35" s="274"/>
      <c r="F35" s="288"/>
      <c r="G35" s="108" t="s">
        <v>288</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6"/>
    </row>
    <row r="36" spans="2:37" ht="93.75">
      <c r="B36" s="19"/>
      <c r="C36" s="9"/>
      <c r="D36" s="274"/>
      <c r="E36" s="274"/>
      <c r="F36" s="288"/>
      <c r="G36" s="108" t="s">
        <v>289</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6"/>
    </row>
    <row r="37" spans="2:37" ht="56.25">
      <c r="B37" s="19"/>
      <c r="C37" s="9"/>
      <c r="D37" s="274"/>
      <c r="E37" s="274"/>
      <c r="F37" s="288"/>
      <c r="G37" s="108" t="s">
        <v>290</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6"/>
    </row>
    <row r="38" spans="2:37" ht="75">
      <c r="B38" s="19"/>
      <c r="C38" s="9"/>
      <c r="D38" s="274"/>
      <c r="E38" s="274"/>
      <c r="F38" s="288"/>
      <c r="G38" s="108" t="s">
        <v>291</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6"/>
    </row>
    <row r="39" spans="2:37" ht="37.5">
      <c r="B39" s="19"/>
      <c r="C39" s="9"/>
      <c r="D39" s="274"/>
      <c r="E39" s="274"/>
      <c r="F39" s="288"/>
      <c r="G39" s="108" t="s">
        <v>292</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6"/>
    </row>
    <row r="40" spans="2:37" ht="18.75">
      <c r="B40" s="24"/>
      <c r="C40" s="24"/>
      <c r="D40" s="284" t="s">
        <v>239</v>
      </c>
      <c r="E40" s="284" t="s">
        <v>649</v>
      </c>
      <c r="F40" s="282" t="s">
        <v>163</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3220153</v>
      </c>
      <c r="AC40" s="49">
        <f t="shared" si="15"/>
        <v>4625529.05</v>
      </c>
      <c r="AD40" s="49">
        <f t="shared" si="15"/>
        <v>4507418.7</v>
      </c>
      <c r="AE40" s="49">
        <f t="shared" si="15"/>
        <v>1231321.49</v>
      </c>
      <c r="AF40" s="49">
        <f t="shared" si="15"/>
        <v>4762313.91</v>
      </c>
      <c r="AG40" s="49">
        <f t="shared" si="15"/>
        <v>2933351.51</v>
      </c>
      <c r="AH40" s="49">
        <f t="shared" si="15"/>
        <v>1039776.6</v>
      </c>
      <c r="AI40" s="49">
        <f t="shared" si="15"/>
        <v>7569089.139999999</v>
      </c>
      <c r="AK40" s="266"/>
    </row>
    <row r="41" spans="2:37" ht="37.5">
      <c r="B41" s="24"/>
      <c r="C41" s="24"/>
      <c r="D41" s="285"/>
      <c r="E41" s="285"/>
      <c r="F41" s="286"/>
      <c r="G41" s="108" t="s">
        <v>293</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6"/>
    </row>
    <row r="42" spans="2:37" ht="37.5">
      <c r="B42" s="24"/>
      <c r="C42" s="24"/>
      <c r="D42" s="285"/>
      <c r="E42" s="285"/>
      <c r="F42" s="286"/>
      <c r="G42" s="108" t="s">
        <v>294</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6"/>
    </row>
    <row r="43" spans="2:37" ht="37.5">
      <c r="B43" s="24"/>
      <c r="C43" s="24"/>
      <c r="D43" s="285"/>
      <c r="E43" s="285"/>
      <c r="F43" s="286"/>
      <c r="G43" s="108" t="s">
        <v>295</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6"/>
    </row>
    <row r="44" spans="2:37" ht="75">
      <c r="B44" s="24"/>
      <c r="C44" s="24"/>
      <c r="D44" s="285"/>
      <c r="E44" s="285"/>
      <c r="F44" s="286"/>
      <c r="G44" s="108" t="s">
        <v>296</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6"/>
    </row>
    <row r="45" spans="2:37" ht="56.25">
      <c r="B45" s="24"/>
      <c r="C45" s="24"/>
      <c r="D45" s="285"/>
      <c r="E45" s="285"/>
      <c r="F45" s="286"/>
      <c r="G45" s="108" t="s">
        <v>297</v>
      </c>
      <c r="H45" s="52"/>
      <c r="I45" s="52"/>
      <c r="J45" s="52"/>
      <c r="K45" s="52"/>
      <c r="L45" s="52"/>
      <c r="M45" s="52"/>
      <c r="N45" s="91">
        <v>3132</v>
      </c>
      <c r="O45" s="52"/>
      <c r="P45" s="52"/>
      <c r="Q45" s="50">
        <v>100000</v>
      </c>
      <c r="R45" s="50"/>
      <c r="S45" s="50"/>
      <c r="T45" s="50"/>
      <c r="U45" s="50"/>
      <c r="V45" s="50">
        <v>100000</v>
      </c>
      <c r="W45" s="242"/>
      <c r="X45" s="242"/>
      <c r="Y45" s="242"/>
      <c r="Z45" s="42"/>
      <c r="AA45" s="42"/>
      <c r="AB45" s="42">
        <v>100000</v>
      </c>
      <c r="AC45" s="42"/>
      <c r="AD45" s="42">
        <f>100000-100000</f>
        <v>0</v>
      </c>
      <c r="AE45" s="42"/>
      <c r="AF45" s="42"/>
      <c r="AG45" s="42"/>
      <c r="AH45" s="42"/>
      <c r="AI45" s="242"/>
      <c r="AK45" s="266"/>
    </row>
    <row r="46" spans="2:37" ht="37.5">
      <c r="B46" s="24"/>
      <c r="C46" s="24"/>
      <c r="D46" s="285"/>
      <c r="E46" s="285"/>
      <c r="F46" s="286"/>
      <c r="G46" s="108" t="s">
        <v>700</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6"/>
    </row>
    <row r="47" spans="2:37" ht="37.5">
      <c r="B47" s="24"/>
      <c r="C47" s="24"/>
      <c r="D47" s="285"/>
      <c r="E47" s="285"/>
      <c r="F47" s="286"/>
      <c r="G47" s="108" t="s">
        <v>701</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c r="AK47" s="266"/>
    </row>
    <row r="48" spans="2:37" ht="56.25">
      <c r="B48" s="24"/>
      <c r="C48" s="24"/>
      <c r="D48" s="285"/>
      <c r="E48" s="285"/>
      <c r="F48" s="286"/>
      <c r="G48" s="108" t="s">
        <v>702</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c r="AC48" s="42"/>
      <c r="AD48" s="42">
        <v>95000</v>
      </c>
      <c r="AE48" s="42"/>
      <c r="AF48" s="42"/>
      <c r="AG48" s="42"/>
      <c r="AH48" s="42"/>
      <c r="AI48" s="242"/>
      <c r="AK48" s="266"/>
    </row>
    <row r="49" spans="2:37" ht="37.5">
      <c r="B49" s="24"/>
      <c r="C49" s="24"/>
      <c r="D49" s="285"/>
      <c r="E49" s="285"/>
      <c r="F49" s="286"/>
      <c r="G49" s="108" t="s">
        <v>703</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6"/>
    </row>
    <row r="50" spans="2:37" ht="37.5">
      <c r="B50" s="24"/>
      <c r="C50" s="24"/>
      <c r="D50" s="285"/>
      <c r="E50" s="285"/>
      <c r="F50" s="286"/>
      <c r="G50" s="108" t="s">
        <v>704</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6"/>
    </row>
    <row r="51" spans="2:37" ht="37.5">
      <c r="B51" s="24"/>
      <c r="C51" s="24"/>
      <c r="D51" s="285"/>
      <c r="E51" s="285"/>
      <c r="F51" s="286"/>
      <c r="G51" s="108" t="s">
        <v>94</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6"/>
    </row>
    <row r="52" spans="2:37" ht="56.25">
      <c r="B52" s="24"/>
      <c r="C52" s="24"/>
      <c r="D52" s="285"/>
      <c r="E52" s="285"/>
      <c r="F52" s="286"/>
      <c r="G52" s="108" t="s">
        <v>705</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6"/>
    </row>
    <row r="53" spans="2:37" ht="112.5">
      <c r="B53" s="24"/>
      <c r="C53" s="24"/>
      <c r="D53" s="285"/>
      <c r="E53" s="285"/>
      <c r="F53" s="286"/>
      <c r="G53" s="108" t="s">
        <v>706</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c r="AK53" s="266"/>
    </row>
    <row r="54" spans="2:37" ht="37.5">
      <c r="B54" s="24"/>
      <c r="C54" s="24"/>
      <c r="D54" s="285"/>
      <c r="E54" s="285"/>
      <c r="F54" s="286"/>
      <c r="G54" s="108" t="s">
        <v>707</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v>210000</v>
      </c>
      <c r="AC54" s="42"/>
      <c r="AD54" s="42">
        <f>180000-25000-110000</f>
        <v>45000</v>
      </c>
      <c r="AE54" s="42">
        <f>100000-100000</f>
        <v>0</v>
      </c>
      <c r="AF54" s="42">
        <v>200000</v>
      </c>
      <c r="AG54" s="42"/>
      <c r="AH54" s="42"/>
      <c r="AI54" s="242">
        <f>25000</f>
        <v>25000</v>
      </c>
      <c r="AK54" s="266"/>
    </row>
    <row r="55" spans="2:37" ht="56.25">
      <c r="B55" s="24"/>
      <c r="C55" s="24"/>
      <c r="D55" s="285"/>
      <c r="E55" s="285"/>
      <c r="F55" s="286"/>
      <c r="G55" s="108" t="s">
        <v>708</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v>80000</v>
      </c>
      <c r="AC55" s="243"/>
      <c r="AD55" s="42">
        <f>90000+70000-80000</f>
        <v>80000</v>
      </c>
      <c r="AE55" s="42"/>
      <c r="AF55" s="42"/>
      <c r="AG55" s="42"/>
      <c r="AH55" s="42"/>
      <c r="AI55" s="242"/>
      <c r="AK55" s="266"/>
    </row>
    <row r="56" spans="2:37" ht="37.5">
      <c r="B56" s="24"/>
      <c r="C56" s="24"/>
      <c r="D56" s="285"/>
      <c r="E56" s="285"/>
      <c r="F56" s="286"/>
      <c r="G56" s="108" t="s">
        <v>709</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6"/>
    </row>
    <row r="57" spans="2:37" ht="37.5">
      <c r="B57" s="24"/>
      <c r="C57" s="24"/>
      <c r="D57" s="285"/>
      <c r="E57" s="285"/>
      <c r="F57" s="286"/>
      <c r="G57" s="108" t="s">
        <v>710</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6"/>
    </row>
    <row r="58" spans="2:37" ht="56.25">
      <c r="B58" s="24"/>
      <c r="C58" s="24"/>
      <c r="D58" s="285"/>
      <c r="E58" s="285"/>
      <c r="F58" s="286"/>
      <c r="G58" s="108" t="s">
        <v>711</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c r="AC58" s="42">
        <v>80000</v>
      </c>
      <c r="AD58" s="42">
        <v>70000</v>
      </c>
      <c r="AE58" s="42"/>
      <c r="AF58" s="42"/>
      <c r="AG58" s="42"/>
      <c r="AH58" s="42"/>
      <c r="AI58" s="242"/>
      <c r="AK58" s="266"/>
    </row>
    <row r="59" spans="2:37" ht="93.75">
      <c r="B59" s="24"/>
      <c r="C59" s="24"/>
      <c r="D59" s="285"/>
      <c r="E59" s="285"/>
      <c r="F59" s="286"/>
      <c r="G59" s="108" t="s">
        <v>712</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6"/>
    </row>
    <row r="60" spans="2:37" ht="37.5">
      <c r="B60" s="24"/>
      <c r="C60" s="24"/>
      <c r="D60" s="285"/>
      <c r="E60" s="285"/>
      <c r="F60" s="286"/>
      <c r="G60" s="108" t="s">
        <v>713</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v>-50000</v>
      </c>
      <c r="AC60" s="42">
        <v>50000</v>
      </c>
      <c r="AD60" s="42">
        <v>50000</v>
      </c>
      <c r="AE60" s="42"/>
      <c r="AF60" s="42"/>
      <c r="AG60" s="42"/>
      <c r="AH60" s="42"/>
      <c r="AI60" s="242"/>
      <c r="AK60" s="266"/>
    </row>
    <row r="61" spans="2:37" ht="56.25">
      <c r="B61" s="24"/>
      <c r="C61" s="24"/>
      <c r="D61" s="285"/>
      <c r="E61" s="285"/>
      <c r="F61" s="286"/>
      <c r="G61" s="108" t="s">
        <v>714</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6"/>
    </row>
    <row r="62" spans="2:37" ht="56.25">
      <c r="B62" s="24"/>
      <c r="C62" s="24"/>
      <c r="D62" s="285"/>
      <c r="E62" s="285"/>
      <c r="F62" s="286"/>
      <c r="G62" s="108" t="s">
        <v>715</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c r="AK62" s="266"/>
    </row>
    <row r="63" spans="2:37" ht="75">
      <c r="B63" s="24"/>
      <c r="C63" s="24"/>
      <c r="D63" s="285"/>
      <c r="E63" s="285"/>
      <c r="F63" s="286"/>
      <c r="G63" s="108" t="s">
        <v>716</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6"/>
    </row>
    <row r="64" spans="2:37" ht="37.5">
      <c r="B64" s="24"/>
      <c r="C64" s="24"/>
      <c r="D64" s="285"/>
      <c r="E64" s="285"/>
      <c r="F64" s="286"/>
      <c r="G64" s="108" t="s">
        <v>717</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c r="AC64" s="42">
        <f>100000-100000</f>
        <v>0</v>
      </c>
      <c r="AD64" s="42">
        <f>150000-150000</f>
        <v>0</v>
      </c>
      <c r="AE64" s="42"/>
      <c r="AF64" s="42">
        <f>215000-37000</f>
        <v>178000</v>
      </c>
      <c r="AG64" s="42"/>
      <c r="AH64" s="42"/>
      <c r="AI64" s="242">
        <f>6202+408299.81</f>
        <v>414501.81</v>
      </c>
      <c r="AK64" s="266"/>
    </row>
    <row r="65" spans="2:37" ht="56.25">
      <c r="B65" s="24"/>
      <c r="C65" s="24"/>
      <c r="D65" s="285"/>
      <c r="E65" s="285"/>
      <c r="F65" s="286"/>
      <c r="G65" s="108" t="s">
        <v>718</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v>40000</v>
      </c>
      <c r="AC65" s="42"/>
      <c r="AD65" s="42">
        <f>45000-40000</f>
        <v>5000</v>
      </c>
      <c r="AE65" s="42">
        <v>45000</v>
      </c>
      <c r="AF65" s="42"/>
      <c r="AG65" s="42"/>
      <c r="AH65" s="42"/>
      <c r="AI65" s="242"/>
      <c r="AK65" s="266"/>
    </row>
    <row r="66" spans="2:37" ht="75">
      <c r="B66" s="24"/>
      <c r="C66" s="24"/>
      <c r="D66" s="285"/>
      <c r="E66" s="285"/>
      <c r="F66" s="286"/>
      <c r="G66" s="108" t="s">
        <v>735</v>
      </c>
      <c r="H66" s="52"/>
      <c r="I66" s="52"/>
      <c r="J66" s="52"/>
      <c r="K66" s="52"/>
      <c r="L66" s="52"/>
      <c r="M66" s="52"/>
      <c r="N66" s="91">
        <v>3132</v>
      </c>
      <c r="O66" s="52"/>
      <c r="P66" s="52"/>
      <c r="Q66" s="50">
        <v>17000</v>
      </c>
      <c r="R66" s="50"/>
      <c r="S66" s="50"/>
      <c r="T66" s="50"/>
      <c r="U66" s="50"/>
      <c r="V66" s="50">
        <v>17000</v>
      </c>
      <c r="W66" s="242"/>
      <c r="X66" s="242"/>
      <c r="Y66" s="242"/>
      <c r="Z66" s="42">
        <v>17000</v>
      </c>
      <c r="AA66" s="42"/>
      <c r="AB66" s="42"/>
      <c r="AC66" s="42"/>
      <c r="AD66" s="42"/>
      <c r="AE66" s="42"/>
      <c r="AF66" s="42"/>
      <c r="AG66" s="42"/>
      <c r="AH66" s="42"/>
      <c r="AI66" s="242"/>
      <c r="AK66" s="266"/>
    </row>
    <row r="67" spans="2:37" ht="56.25">
      <c r="B67" s="24"/>
      <c r="C67" s="24"/>
      <c r="D67" s="285"/>
      <c r="E67" s="285"/>
      <c r="F67" s="286"/>
      <c r="G67" s="108" t="s">
        <v>736</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c r="AC67" s="42"/>
      <c r="AD67" s="42">
        <v>100000</v>
      </c>
      <c r="AE67" s="42">
        <v>54724</v>
      </c>
      <c r="AF67" s="42"/>
      <c r="AG67" s="42"/>
      <c r="AH67" s="42"/>
      <c r="AI67" s="242">
        <f>148707.5</f>
        <v>148707.5</v>
      </c>
      <c r="AK67" s="266"/>
    </row>
    <row r="68" spans="2:37" ht="56.25">
      <c r="B68" s="24"/>
      <c r="C68" s="24"/>
      <c r="D68" s="285"/>
      <c r="E68" s="285"/>
      <c r="F68" s="286"/>
      <c r="G68" s="108" t="s">
        <v>510</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6"/>
    </row>
    <row r="69" spans="2:37" ht="37.5">
      <c r="B69" s="24"/>
      <c r="C69" s="24"/>
      <c r="D69" s="285"/>
      <c r="E69" s="285"/>
      <c r="F69" s="286"/>
      <c r="G69" s="108" t="s">
        <v>737</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6"/>
    </row>
    <row r="70" spans="2:37" ht="56.25">
      <c r="B70" s="24"/>
      <c r="C70" s="24"/>
      <c r="D70" s="285"/>
      <c r="E70" s="285"/>
      <c r="F70" s="286"/>
      <c r="G70" s="108" t="s">
        <v>738</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c r="AC70" s="42">
        <v>85000</v>
      </c>
      <c r="AD70" s="42">
        <v>50000</v>
      </c>
      <c r="AE70" s="42"/>
      <c r="AF70" s="42"/>
      <c r="AG70" s="42"/>
      <c r="AH70" s="42"/>
      <c r="AI70" s="242"/>
      <c r="AK70" s="266"/>
    </row>
    <row r="71" spans="2:37" ht="37.5">
      <c r="B71" s="24"/>
      <c r="C71" s="24"/>
      <c r="D71" s="285"/>
      <c r="E71" s="285"/>
      <c r="F71" s="286"/>
      <c r="G71" s="108" t="s">
        <v>739</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6"/>
    </row>
    <row r="72" spans="2:37" ht="56.25">
      <c r="B72" s="24"/>
      <c r="C72" s="24"/>
      <c r="D72" s="285"/>
      <c r="E72" s="285"/>
      <c r="F72" s="286"/>
      <c r="G72" s="108" t="s">
        <v>740</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c r="AK72" s="266"/>
    </row>
    <row r="73" spans="2:37" ht="56.25">
      <c r="B73" s="24"/>
      <c r="C73" s="24"/>
      <c r="D73" s="285"/>
      <c r="E73" s="285"/>
      <c r="F73" s="286"/>
      <c r="G73" s="108" t="s">
        <v>741</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6"/>
    </row>
    <row r="74" spans="2:37" ht="37.5">
      <c r="B74" s="24"/>
      <c r="C74" s="24"/>
      <c r="D74" s="285"/>
      <c r="E74" s="285"/>
      <c r="F74" s="286"/>
      <c r="G74" s="108" t="s">
        <v>742</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c r="AC74" s="42">
        <v>40000</v>
      </c>
      <c r="AD74" s="42">
        <v>50000</v>
      </c>
      <c r="AE74" s="42"/>
      <c r="AF74" s="42"/>
      <c r="AG74" s="42"/>
      <c r="AH74" s="42"/>
      <c r="AI74" s="242"/>
      <c r="AK74" s="266"/>
    </row>
    <row r="75" spans="2:37" ht="37.5">
      <c r="B75" s="24"/>
      <c r="C75" s="24"/>
      <c r="D75" s="285"/>
      <c r="E75" s="285"/>
      <c r="F75" s="286"/>
      <c r="G75" s="108" t="s">
        <v>743</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c r="AK75" s="266"/>
    </row>
    <row r="76" spans="2:37" ht="56.25">
      <c r="B76" s="24"/>
      <c r="C76" s="24"/>
      <c r="D76" s="285"/>
      <c r="E76" s="285"/>
      <c r="F76" s="286"/>
      <c r="G76" s="108" t="s">
        <v>744</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6"/>
    </row>
    <row r="77" spans="2:37" ht="37.5">
      <c r="B77" s="24"/>
      <c r="C77" s="24"/>
      <c r="D77" s="285"/>
      <c r="E77" s="285"/>
      <c r="F77" s="286"/>
      <c r="G77" s="108" t="s">
        <v>745</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c r="AC77" s="42"/>
      <c r="AD77" s="42">
        <f>235000-235000</f>
        <v>0</v>
      </c>
      <c r="AE77" s="42"/>
      <c r="AF77" s="42">
        <f>150000-90000</f>
        <v>60000</v>
      </c>
      <c r="AG77" s="42">
        <v>100000</v>
      </c>
      <c r="AH77" s="42"/>
      <c r="AI77" s="242">
        <f>6206+408300.73</f>
        <v>414506.73</v>
      </c>
      <c r="AK77" s="266"/>
    </row>
    <row r="78" spans="2:37" ht="56.25">
      <c r="B78" s="24"/>
      <c r="C78" s="24"/>
      <c r="D78" s="285"/>
      <c r="E78" s="285"/>
      <c r="F78" s="286"/>
      <c r="G78" s="108" t="s">
        <v>746</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6"/>
    </row>
    <row r="79" spans="2:37" ht="56.25">
      <c r="B79" s="24"/>
      <c r="C79" s="24"/>
      <c r="D79" s="285"/>
      <c r="E79" s="285"/>
      <c r="F79" s="286"/>
      <c r="G79" s="108" t="s">
        <v>747</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6"/>
    </row>
    <row r="80" spans="2:37" ht="56.25">
      <c r="B80" s="24"/>
      <c r="C80" s="24"/>
      <c r="D80" s="285"/>
      <c r="E80" s="285"/>
      <c r="F80" s="286"/>
      <c r="G80" s="108" t="s">
        <v>748</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6"/>
    </row>
    <row r="81" spans="2:37" ht="37.5">
      <c r="B81" s="24"/>
      <c r="C81" s="24"/>
      <c r="D81" s="285"/>
      <c r="E81" s="285"/>
      <c r="F81" s="286"/>
      <c r="G81" s="108" t="s">
        <v>749</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6"/>
    </row>
    <row r="82" spans="2:37" ht="37.5">
      <c r="B82" s="24"/>
      <c r="C82" s="24"/>
      <c r="D82" s="285"/>
      <c r="E82" s="285"/>
      <c r="F82" s="286"/>
      <c r="G82" s="108" t="s">
        <v>750</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c r="AC82" s="42"/>
      <c r="AD82" s="42"/>
      <c r="AE82" s="42"/>
      <c r="AF82" s="42">
        <v>105000</v>
      </c>
      <c r="AG82" s="42"/>
      <c r="AH82" s="42"/>
      <c r="AI82" s="242">
        <f>3659+120358.5</f>
        <v>124017.5</v>
      </c>
      <c r="AK82" s="266"/>
    </row>
    <row r="83" spans="2:37" ht="37.5">
      <c r="B83" s="24"/>
      <c r="C83" s="24"/>
      <c r="D83" s="285"/>
      <c r="E83" s="285"/>
      <c r="F83" s="286"/>
      <c r="G83" s="108" t="s">
        <v>751</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c r="AC83" s="42"/>
      <c r="AD83" s="42"/>
      <c r="AE83" s="42"/>
      <c r="AF83" s="42">
        <v>145000</v>
      </c>
      <c r="AG83" s="42"/>
      <c r="AH83" s="42"/>
      <c r="AI83" s="242">
        <f>144483+4847.8</f>
        <v>149330.8</v>
      </c>
      <c r="AK83" s="266"/>
    </row>
    <row r="84" spans="2:37" ht="56.25">
      <c r="B84" s="24"/>
      <c r="C84" s="24"/>
      <c r="D84" s="285"/>
      <c r="E84" s="285"/>
      <c r="F84" s="286"/>
      <c r="G84" s="108" t="s">
        <v>752</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6"/>
    </row>
    <row r="85" spans="2:37" ht="37.5">
      <c r="B85" s="24"/>
      <c r="C85" s="24"/>
      <c r="D85" s="285"/>
      <c r="E85" s="285"/>
      <c r="F85" s="286"/>
      <c r="G85" s="108" t="s">
        <v>753</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c r="AK85" s="266"/>
    </row>
    <row r="86" spans="2:37" ht="56.25">
      <c r="B86" s="24"/>
      <c r="C86" s="24"/>
      <c r="D86" s="285"/>
      <c r="E86" s="285"/>
      <c r="F86" s="286"/>
      <c r="G86" s="108" t="s">
        <v>733</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c r="AC86" s="42">
        <v>120000</v>
      </c>
      <c r="AD86" s="42">
        <v>160000</v>
      </c>
      <c r="AE86" s="42"/>
      <c r="AF86" s="42"/>
      <c r="AG86" s="42"/>
      <c r="AH86" s="42"/>
      <c r="AI86" s="242">
        <f>4753.6</f>
        <v>4753.6</v>
      </c>
      <c r="AK86" s="266"/>
    </row>
    <row r="87" spans="2:37" ht="37.5">
      <c r="B87" s="24"/>
      <c r="C87" s="24"/>
      <c r="D87" s="285"/>
      <c r="E87" s="285"/>
      <c r="F87" s="286"/>
      <c r="G87" s="108" t="s">
        <v>370</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v>97000</v>
      </c>
      <c r="AC87" s="42">
        <f>90000-90000</f>
        <v>0</v>
      </c>
      <c r="AD87" s="42"/>
      <c r="AE87" s="42"/>
      <c r="AF87" s="42">
        <f>50000-7000</f>
        <v>43000</v>
      </c>
      <c r="AG87" s="42"/>
      <c r="AH87" s="42"/>
      <c r="AI87" s="242">
        <f>4080</f>
        <v>4080</v>
      </c>
      <c r="AK87" s="266"/>
    </row>
    <row r="88" spans="2:37" ht="56.25">
      <c r="B88" s="24"/>
      <c r="C88" s="24"/>
      <c r="D88" s="285"/>
      <c r="E88" s="285"/>
      <c r="F88" s="286"/>
      <c r="G88" s="108" t="s">
        <v>371</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6"/>
    </row>
    <row r="89" spans="2:37" ht="56.25">
      <c r="B89" s="24"/>
      <c r="C89" s="24"/>
      <c r="D89" s="285"/>
      <c r="E89" s="285"/>
      <c r="F89" s="286"/>
      <c r="G89" s="108" t="s">
        <v>372</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6"/>
    </row>
    <row r="90" spans="2:37" ht="56.25">
      <c r="B90" s="24"/>
      <c r="C90" s="24"/>
      <c r="D90" s="285"/>
      <c r="E90" s="285"/>
      <c r="F90" s="286"/>
      <c r="G90" s="108" t="s">
        <v>373</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f>
        <v>5152.2</v>
      </c>
      <c r="AK90" s="266"/>
    </row>
    <row r="91" spans="2:37" ht="37.5">
      <c r="B91" s="24"/>
      <c r="C91" s="24"/>
      <c r="D91" s="285"/>
      <c r="E91" s="285"/>
      <c r="F91" s="286"/>
      <c r="G91" s="108" t="s">
        <v>374</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f>
        <v>4189</v>
      </c>
      <c r="AK91" s="266"/>
    </row>
    <row r="92" spans="2:37" ht="56.25">
      <c r="B92" s="24"/>
      <c r="C92" s="24"/>
      <c r="D92" s="285"/>
      <c r="E92" s="285"/>
      <c r="F92" s="286"/>
      <c r="G92" s="108" t="s">
        <v>375</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6"/>
    </row>
    <row r="93" spans="2:37" ht="56.25">
      <c r="B93" s="24"/>
      <c r="C93" s="24"/>
      <c r="D93" s="285"/>
      <c r="E93" s="285"/>
      <c r="F93" s="286"/>
      <c r="G93" s="108" t="s">
        <v>376</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6"/>
    </row>
    <row r="94" spans="2:37" ht="37.5">
      <c r="B94" s="24"/>
      <c r="C94" s="24"/>
      <c r="D94" s="285"/>
      <c r="E94" s="285"/>
      <c r="F94" s="286"/>
      <c r="G94" s="108" t="s">
        <v>377</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6"/>
    </row>
    <row r="95" spans="2:37" ht="37.5">
      <c r="B95" s="24"/>
      <c r="C95" s="24"/>
      <c r="D95" s="285"/>
      <c r="E95" s="285"/>
      <c r="F95" s="286"/>
      <c r="G95" s="108" t="s">
        <v>378</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v>315000</v>
      </c>
      <c r="AC95" s="42">
        <f>85000-85000</f>
        <v>0</v>
      </c>
      <c r="AD95" s="42">
        <f>100000-100000</f>
        <v>0</v>
      </c>
      <c r="AE95" s="42"/>
      <c r="AF95" s="42"/>
      <c r="AG95" s="42">
        <f>200000-130000</f>
        <v>70000</v>
      </c>
      <c r="AH95" s="42"/>
      <c r="AI95" s="242">
        <f>5805.8</f>
        <v>5805.8</v>
      </c>
      <c r="AK95" s="266"/>
    </row>
    <row r="96" spans="2:37" ht="56.25">
      <c r="B96" s="24"/>
      <c r="C96" s="24"/>
      <c r="D96" s="285"/>
      <c r="E96" s="285"/>
      <c r="F96" s="286"/>
      <c r="G96" s="108" t="s">
        <v>379</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v>159759</v>
      </c>
      <c r="AC96" s="42">
        <f>185000-9759</f>
        <v>175241</v>
      </c>
      <c r="AD96" s="42">
        <f>150000-150000</f>
        <v>0</v>
      </c>
      <c r="AE96" s="42"/>
      <c r="AF96" s="42"/>
      <c r="AG96" s="42"/>
      <c r="AH96" s="42"/>
      <c r="AI96" s="242">
        <f>6799</f>
        <v>6799</v>
      </c>
      <c r="AK96" s="266"/>
    </row>
    <row r="97" spans="2:37" ht="37.5">
      <c r="B97" s="24"/>
      <c r="C97" s="24"/>
      <c r="D97" s="285"/>
      <c r="E97" s="285"/>
      <c r="F97" s="286"/>
      <c r="G97" s="108" t="s">
        <v>380</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c r="AC97" s="42">
        <f>135000-135000</f>
        <v>0</v>
      </c>
      <c r="AD97" s="42">
        <f>100000-100000</f>
        <v>0</v>
      </c>
      <c r="AE97" s="42">
        <v>35000</v>
      </c>
      <c r="AF97" s="42">
        <f>150000+120000-35000</f>
        <v>235000</v>
      </c>
      <c r="AG97" s="42"/>
      <c r="AH97" s="42"/>
      <c r="AI97" s="242">
        <f>2755.2+271863.6</f>
        <v>274618.8</v>
      </c>
      <c r="AK97" s="266"/>
    </row>
    <row r="98" spans="2:37" ht="37.5">
      <c r="B98" s="24"/>
      <c r="C98" s="24"/>
      <c r="D98" s="285"/>
      <c r="E98" s="285"/>
      <c r="F98" s="286"/>
      <c r="G98" s="108" t="s">
        <v>381</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c r="AC98" s="42"/>
      <c r="AD98" s="42"/>
      <c r="AE98" s="42">
        <f>120000-35000</f>
        <v>85000</v>
      </c>
      <c r="AF98" s="42">
        <f>120000-120000</f>
        <v>0</v>
      </c>
      <c r="AG98" s="42"/>
      <c r="AH98" s="42"/>
      <c r="AI98" s="242">
        <v>161853</v>
      </c>
      <c r="AK98" s="266"/>
    </row>
    <row r="99" spans="2:37" ht="56.25">
      <c r="B99" s="24"/>
      <c r="C99" s="24"/>
      <c r="D99" s="285"/>
      <c r="E99" s="285"/>
      <c r="F99" s="286"/>
      <c r="G99" s="108" t="s">
        <v>382</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c r="AK99" s="266"/>
    </row>
    <row r="100" spans="2:37" ht="37.5">
      <c r="B100" s="24"/>
      <c r="C100" s="24"/>
      <c r="D100" s="285"/>
      <c r="E100" s="285"/>
      <c r="F100" s="286"/>
      <c r="G100" s="108" t="s">
        <v>383</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c r="AK100" s="266"/>
    </row>
    <row r="101" spans="2:37" ht="37.5">
      <c r="B101" s="24"/>
      <c r="C101" s="24"/>
      <c r="D101" s="285"/>
      <c r="E101" s="285"/>
      <c r="F101" s="286"/>
      <c r="G101" s="108" t="s">
        <v>384</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6"/>
    </row>
    <row r="102" spans="2:37" ht="37.5">
      <c r="B102" s="24"/>
      <c r="C102" s="24"/>
      <c r="D102" s="285"/>
      <c r="E102" s="285"/>
      <c r="F102" s="286"/>
      <c r="G102" s="108" t="s">
        <v>385</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c r="AC102" s="42"/>
      <c r="AD102" s="42"/>
      <c r="AE102" s="42"/>
      <c r="AF102" s="42"/>
      <c r="AG102" s="42">
        <v>135000</v>
      </c>
      <c r="AH102" s="42"/>
      <c r="AI102" s="242">
        <f>16500</f>
        <v>16500</v>
      </c>
      <c r="AK102" s="266"/>
    </row>
    <row r="103" spans="2:37" ht="56.25">
      <c r="B103" s="24"/>
      <c r="C103" s="24"/>
      <c r="D103" s="285"/>
      <c r="E103" s="285"/>
      <c r="F103" s="286"/>
      <c r="G103" s="108" t="s">
        <v>386</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6"/>
    </row>
    <row r="104" spans="2:37" ht="56.25">
      <c r="B104" s="24"/>
      <c r="C104" s="24"/>
      <c r="D104" s="285"/>
      <c r="E104" s="285"/>
      <c r="F104" s="286"/>
      <c r="G104" s="108" t="s">
        <v>387</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6"/>
    </row>
    <row r="105" spans="2:37" ht="37.5">
      <c r="B105" s="24"/>
      <c r="C105" s="24"/>
      <c r="D105" s="285"/>
      <c r="E105" s="285"/>
      <c r="F105" s="286"/>
      <c r="G105" s="108" t="s">
        <v>388</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6"/>
    </row>
    <row r="106" spans="2:37" ht="37.5">
      <c r="B106" s="24"/>
      <c r="C106" s="24"/>
      <c r="D106" s="285"/>
      <c r="E106" s="285"/>
      <c r="F106" s="286"/>
      <c r="G106" s="108" t="s">
        <v>389</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c r="AC106" s="42">
        <v>230000</v>
      </c>
      <c r="AD106" s="42"/>
      <c r="AE106" s="42"/>
      <c r="AF106" s="42">
        <v>100000</v>
      </c>
      <c r="AG106" s="42"/>
      <c r="AH106" s="42"/>
      <c r="AI106" s="242"/>
      <c r="AK106" s="266"/>
    </row>
    <row r="107" spans="2:37" ht="36" hidden="1">
      <c r="B107" s="24"/>
      <c r="C107" s="24"/>
      <c r="D107" s="285"/>
      <c r="E107" s="285"/>
      <c r="F107" s="286"/>
      <c r="G107" s="108" t="s">
        <v>390</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6"/>
    </row>
    <row r="108" spans="2:37" ht="37.5">
      <c r="B108" s="24"/>
      <c r="C108" s="24"/>
      <c r="D108" s="285"/>
      <c r="E108" s="285"/>
      <c r="F108" s="286"/>
      <c r="G108" s="108" t="s">
        <v>564</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c r="AC108" s="42"/>
      <c r="AD108" s="42">
        <v>135000</v>
      </c>
      <c r="AE108" s="42">
        <v>100000</v>
      </c>
      <c r="AF108" s="42">
        <v>150000</v>
      </c>
      <c r="AG108" s="42"/>
      <c r="AH108" s="42"/>
      <c r="AI108" s="242">
        <f>25000</f>
        <v>25000</v>
      </c>
      <c r="AK108" s="266"/>
    </row>
    <row r="109" spans="2:37" ht="56.25">
      <c r="B109" s="24"/>
      <c r="C109" s="24"/>
      <c r="D109" s="285"/>
      <c r="E109" s="285"/>
      <c r="F109" s="286"/>
      <c r="G109" s="108" t="s">
        <v>391</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c r="AC109" s="42">
        <f>145000+200000</f>
        <v>345000</v>
      </c>
      <c r="AD109" s="42"/>
      <c r="AE109" s="42"/>
      <c r="AF109" s="42"/>
      <c r="AG109" s="42"/>
      <c r="AH109" s="42"/>
      <c r="AI109" s="242"/>
      <c r="AK109" s="266"/>
    </row>
    <row r="110" spans="2:37" ht="56.25">
      <c r="B110" s="24"/>
      <c r="C110" s="24"/>
      <c r="D110" s="285"/>
      <c r="E110" s="285"/>
      <c r="F110" s="286"/>
      <c r="G110" s="108" t="s">
        <v>392</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c r="AK110" s="266"/>
    </row>
    <row r="111" spans="2:37" ht="37.5">
      <c r="B111" s="24"/>
      <c r="C111" s="24"/>
      <c r="D111" s="285"/>
      <c r="E111" s="285"/>
      <c r="F111" s="286"/>
      <c r="G111" s="108" t="s">
        <v>339</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v>45000</v>
      </c>
      <c r="AC111" s="42"/>
      <c r="AD111" s="42"/>
      <c r="AE111" s="42"/>
      <c r="AF111" s="42"/>
      <c r="AG111" s="42">
        <f>95000-45000</f>
        <v>50000</v>
      </c>
      <c r="AH111" s="42"/>
      <c r="AI111" s="242">
        <f>4329.6</f>
        <v>4329.6</v>
      </c>
      <c r="AK111" s="266"/>
    </row>
    <row r="112" spans="2:37" ht="56.25">
      <c r="B112" s="24"/>
      <c r="C112" s="24"/>
      <c r="D112" s="285"/>
      <c r="E112" s="285"/>
      <c r="F112" s="286"/>
      <c r="G112" s="108" t="s">
        <v>340</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v>170000</v>
      </c>
      <c r="AC112" s="42">
        <f>225000-170000</f>
        <v>55000</v>
      </c>
      <c r="AD112" s="42">
        <v>110000</v>
      </c>
      <c r="AE112" s="42"/>
      <c r="AF112" s="42"/>
      <c r="AG112" s="42"/>
      <c r="AH112" s="42"/>
      <c r="AI112" s="242">
        <f>757.2</f>
        <v>757.2</v>
      </c>
      <c r="AK112" s="266"/>
    </row>
    <row r="113" spans="2:37" ht="37.5">
      <c r="B113" s="24"/>
      <c r="C113" s="24"/>
      <c r="D113" s="285"/>
      <c r="E113" s="285"/>
      <c r="F113" s="286"/>
      <c r="G113" s="108" t="s">
        <v>341</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c r="AK113" s="266"/>
    </row>
    <row r="114" spans="2:37" ht="37.5">
      <c r="B114" s="24"/>
      <c r="C114" s="24"/>
      <c r="D114" s="285"/>
      <c r="E114" s="285"/>
      <c r="F114" s="286"/>
      <c r="G114" s="108" t="s">
        <v>342</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c r="AC114" s="42">
        <f>110000-110000</f>
        <v>0</v>
      </c>
      <c r="AD114" s="42">
        <f>215000-180000</f>
        <v>35000</v>
      </c>
      <c r="AE114" s="42">
        <v>110000</v>
      </c>
      <c r="AF114" s="42"/>
      <c r="AG114" s="42">
        <v>150000</v>
      </c>
      <c r="AH114" s="42"/>
      <c r="AI114" s="242">
        <f>2905.4+293085.5</f>
        <v>295990.9</v>
      </c>
      <c r="AK114" s="266"/>
    </row>
    <row r="115" spans="2:37" ht="37.5">
      <c r="B115" s="24"/>
      <c r="C115" s="24"/>
      <c r="D115" s="285"/>
      <c r="E115" s="285"/>
      <c r="F115" s="286"/>
      <c r="G115" s="108" t="s">
        <v>343</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c r="AC115" s="42"/>
      <c r="AD115" s="42">
        <v>85000</v>
      </c>
      <c r="AE115" s="42"/>
      <c r="AF115" s="42"/>
      <c r="AG115" s="42">
        <f>150000-135000</f>
        <v>15000</v>
      </c>
      <c r="AH115" s="42"/>
      <c r="AI115" s="242">
        <f>5776.4+270728.6</f>
        <v>276505</v>
      </c>
      <c r="AK115" s="266"/>
    </row>
    <row r="116" spans="2:37" ht="56.25">
      <c r="B116" s="24"/>
      <c r="C116" s="24"/>
      <c r="D116" s="285"/>
      <c r="E116" s="285"/>
      <c r="F116" s="286"/>
      <c r="G116" s="108" t="s">
        <v>344</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v>-45000</v>
      </c>
      <c r="AC116" s="42"/>
      <c r="AD116" s="42"/>
      <c r="AE116" s="42"/>
      <c r="AF116" s="42"/>
      <c r="AG116" s="42">
        <v>45000</v>
      </c>
      <c r="AH116" s="42"/>
      <c r="AI116" s="242"/>
      <c r="AK116" s="266"/>
    </row>
    <row r="117" spans="2:37" ht="37.5">
      <c r="B117" s="24"/>
      <c r="C117" s="24"/>
      <c r="D117" s="285"/>
      <c r="E117" s="285"/>
      <c r="F117" s="286"/>
      <c r="G117" s="108" t="s">
        <v>345</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c r="AC117" s="42">
        <f>110000-110000</f>
        <v>0</v>
      </c>
      <c r="AD117" s="42">
        <f>115000-115000</f>
        <v>0</v>
      </c>
      <c r="AE117" s="42"/>
      <c r="AF117" s="42"/>
      <c r="AG117" s="42">
        <f>150000-10000</f>
        <v>140000</v>
      </c>
      <c r="AH117" s="42"/>
      <c r="AI117" s="242">
        <f>5988.8+339519.71</f>
        <v>345508.51</v>
      </c>
      <c r="AK117" s="266"/>
    </row>
    <row r="118" spans="2:37" ht="37.5">
      <c r="B118" s="24"/>
      <c r="C118" s="24"/>
      <c r="D118" s="285"/>
      <c r="E118" s="285"/>
      <c r="F118" s="286"/>
      <c r="G118" s="108" t="s">
        <v>346</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6"/>
    </row>
    <row r="119" spans="2:37" ht="56.25">
      <c r="B119" s="24"/>
      <c r="C119" s="24"/>
      <c r="D119" s="285"/>
      <c r="E119" s="285"/>
      <c r="F119" s="286"/>
      <c r="G119" s="108" t="s">
        <v>347</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6"/>
    </row>
    <row r="120" spans="2:37" ht="75">
      <c r="B120" s="24"/>
      <c r="C120" s="24"/>
      <c r="D120" s="285"/>
      <c r="E120" s="285"/>
      <c r="F120" s="286"/>
      <c r="G120" s="108" t="s">
        <v>348</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c r="AC120" s="42">
        <v>150000</v>
      </c>
      <c r="AD120" s="42"/>
      <c r="AE120" s="42"/>
      <c r="AF120" s="42">
        <f>200000-200000</f>
        <v>0</v>
      </c>
      <c r="AG120" s="42">
        <v>200000</v>
      </c>
      <c r="AH120" s="42"/>
      <c r="AI120" s="242">
        <f>341165.4</f>
        <v>341165.4</v>
      </c>
      <c r="AK120" s="266"/>
    </row>
    <row r="121" spans="2:37" ht="75">
      <c r="B121" s="24"/>
      <c r="C121" s="24"/>
      <c r="D121" s="285"/>
      <c r="E121" s="285"/>
      <c r="F121" s="286"/>
      <c r="G121" s="108" t="s">
        <v>792</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6"/>
    </row>
    <row r="122" spans="2:37" ht="37.5">
      <c r="B122" s="24"/>
      <c r="C122" s="24"/>
      <c r="D122" s="285"/>
      <c r="E122" s="285"/>
      <c r="F122" s="286"/>
      <c r="G122" s="108" t="s">
        <v>793</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6"/>
    </row>
    <row r="123" spans="2:37" ht="56.25">
      <c r="B123" s="24"/>
      <c r="C123" s="24"/>
      <c r="D123" s="285"/>
      <c r="E123" s="285"/>
      <c r="F123" s="286"/>
      <c r="G123" s="108" t="s">
        <v>794</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6"/>
    </row>
    <row r="124" spans="2:37" ht="37.5">
      <c r="B124" s="24"/>
      <c r="C124" s="24"/>
      <c r="D124" s="285"/>
      <c r="E124" s="285"/>
      <c r="F124" s="286"/>
      <c r="G124" s="108" t="s">
        <v>795</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c r="AK124" s="266"/>
    </row>
    <row r="125" spans="2:37" ht="56.25">
      <c r="B125" s="24"/>
      <c r="C125" s="24"/>
      <c r="D125" s="285"/>
      <c r="E125" s="285"/>
      <c r="F125" s="286"/>
      <c r="G125" s="108" t="s">
        <v>796</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f>
        <v>2880</v>
      </c>
      <c r="AK125" s="266"/>
    </row>
    <row r="126" spans="2:37" ht="56.25">
      <c r="B126" s="24"/>
      <c r="C126" s="24"/>
      <c r="D126" s="285"/>
      <c r="E126" s="285"/>
      <c r="F126" s="286"/>
      <c r="G126" s="108" t="s">
        <v>797</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42"/>
      <c r="AK126" s="266"/>
    </row>
    <row r="127" spans="2:37" ht="56.25">
      <c r="B127" s="24"/>
      <c r="C127" s="24"/>
      <c r="D127" s="285"/>
      <c r="E127" s="285"/>
      <c r="F127" s="286"/>
      <c r="G127" s="108" t="s">
        <v>798</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6"/>
    </row>
    <row r="128" spans="2:37" ht="56.25">
      <c r="B128" s="24"/>
      <c r="C128" s="24"/>
      <c r="D128" s="285"/>
      <c r="E128" s="285"/>
      <c r="F128" s="286"/>
      <c r="G128" s="108" t="s">
        <v>799</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6"/>
    </row>
    <row r="129" spans="2:37" ht="56.25">
      <c r="B129" s="24"/>
      <c r="C129" s="24"/>
      <c r="D129" s="285"/>
      <c r="E129" s="285"/>
      <c r="F129" s="286"/>
      <c r="G129" s="108" t="s">
        <v>800</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c r="AK129" s="266"/>
    </row>
    <row r="130" spans="2:37" ht="37.5">
      <c r="B130" s="24"/>
      <c r="C130" s="24"/>
      <c r="D130" s="285"/>
      <c r="E130" s="285"/>
      <c r="F130" s="286"/>
      <c r="G130" s="108" t="s">
        <v>20</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6"/>
    </row>
    <row r="131" spans="2:37" ht="37.5">
      <c r="B131" s="24"/>
      <c r="C131" s="24"/>
      <c r="D131" s="285"/>
      <c r="E131" s="285"/>
      <c r="F131" s="286"/>
      <c r="G131" s="108" t="s">
        <v>21</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f>
        <v>1305.6</v>
      </c>
      <c r="AK131" s="266"/>
    </row>
    <row r="132" spans="2:37" ht="37.5">
      <c r="B132" s="24"/>
      <c r="C132" s="24"/>
      <c r="D132" s="285"/>
      <c r="E132" s="285"/>
      <c r="F132" s="286"/>
      <c r="G132" s="108" t="s">
        <v>22</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c r="AC132" s="42"/>
      <c r="AD132" s="42">
        <v>120000</v>
      </c>
      <c r="AE132" s="42"/>
      <c r="AF132" s="42"/>
      <c r="AG132" s="42"/>
      <c r="AH132" s="42">
        <v>115000</v>
      </c>
      <c r="AI132" s="242"/>
      <c r="AK132" s="266"/>
    </row>
    <row r="133" spans="2:37" ht="37.5">
      <c r="B133" s="24"/>
      <c r="C133" s="24"/>
      <c r="D133" s="285"/>
      <c r="E133" s="285"/>
      <c r="F133" s="286"/>
      <c r="G133" s="108" t="s">
        <v>23</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6"/>
    </row>
    <row r="134" spans="2:37" ht="56.25">
      <c r="B134" s="24"/>
      <c r="C134" s="24"/>
      <c r="D134" s="285"/>
      <c r="E134" s="285"/>
      <c r="F134" s="286"/>
      <c r="G134" s="108" t="s">
        <v>24</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6"/>
    </row>
    <row r="135" spans="2:37" ht="56.25">
      <c r="B135" s="24"/>
      <c r="C135" s="24"/>
      <c r="D135" s="285"/>
      <c r="E135" s="285"/>
      <c r="F135" s="286"/>
      <c r="G135" s="108" t="s">
        <v>25</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c r="AC135" s="42">
        <v>110000</v>
      </c>
      <c r="AD135" s="42">
        <v>70000</v>
      </c>
      <c r="AE135" s="42"/>
      <c r="AF135" s="42"/>
      <c r="AG135" s="42"/>
      <c r="AH135" s="42"/>
      <c r="AI135" s="242"/>
      <c r="AK135" s="266"/>
    </row>
    <row r="136" spans="2:37" ht="56.25">
      <c r="B136" s="24"/>
      <c r="C136" s="24"/>
      <c r="D136" s="285"/>
      <c r="E136" s="285"/>
      <c r="F136" s="286"/>
      <c r="G136" s="108" t="s">
        <v>26</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c r="AC136" s="42">
        <v>110000</v>
      </c>
      <c r="AD136" s="42">
        <f>121555.09-107000</f>
        <v>14555.089999999997</v>
      </c>
      <c r="AE136" s="42"/>
      <c r="AF136" s="42">
        <f>248444.91-248000</f>
        <v>444.9100000000035</v>
      </c>
      <c r="AG136" s="42"/>
      <c r="AH136" s="42"/>
      <c r="AI136" s="242">
        <f>5992.4</f>
        <v>5992.4</v>
      </c>
      <c r="AK136" s="266"/>
    </row>
    <row r="137" spans="2:37" ht="56.25">
      <c r="B137" s="24"/>
      <c r="C137" s="24"/>
      <c r="D137" s="285"/>
      <c r="E137" s="285"/>
      <c r="F137" s="286"/>
      <c r="G137" s="108" t="s">
        <v>27</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6"/>
    </row>
    <row r="138" spans="2:37" ht="56.25">
      <c r="B138" s="24"/>
      <c r="C138" s="24"/>
      <c r="D138" s="285"/>
      <c r="E138" s="285"/>
      <c r="F138" s="286"/>
      <c r="G138" s="108" t="s">
        <v>28</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c r="AC138" s="42"/>
      <c r="AD138" s="42"/>
      <c r="AE138" s="42"/>
      <c r="AF138" s="42">
        <v>40000</v>
      </c>
      <c r="AG138" s="42"/>
      <c r="AH138" s="42"/>
      <c r="AI138" s="242">
        <v>49107</v>
      </c>
      <c r="AK138" s="266"/>
    </row>
    <row r="139" spans="2:37" ht="37.5">
      <c r="B139" s="24"/>
      <c r="C139" s="24"/>
      <c r="D139" s="285"/>
      <c r="E139" s="285"/>
      <c r="F139" s="286"/>
      <c r="G139" s="108" t="s">
        <v>29</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c r="AC139" s="42"/>
      <c r="AD139" s="42"/>
      <c r="AE139" s="42"/>
      <c r="AF139" s="42">
        <v>160000</v>
      </c>
      <c r="AG139" s="42"/>
      <c r="AH139" s="42"/>
      <c r="AI139" s="242">
        <f>116252.5</f>
        <v>116252.5</v>
      </c>
      <c r="AK139" s="266"/>
    </row>
    <row r="140" spans="2:37" ht="37.5">
      <c r="B140" s="24"/>
      <c r="C140" s="24"/>
      <c r="D140" s="285"/>
      <c r="E140" s="285"/>
      <c r="F140" s="286"/>
      <c r="G140" s="108" t="s">
        <v>30</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c r="AK140" s="266"/>
    </row>
    <row r="141" spans="2:37" ht="36" hidden="1">
      <c r="B141" s="24"/>
      <c r="C141" s="24"/>
      <c r="D141" s="285"/>
      <c r="E141" s="285"/>
      <c r="F141" s="286"/>
      <c r="G141" s="108" t="s">
        <v>31</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6"/>
    </row>
    <row r="142" spans="2:37" ht="56.25">
      <c r="B142" s="24"/>
      <c r="C142" s="24"/>
      <c r="D142" s="285"/>
      <c r="E142" s="285"/>
      <c r="F142" s="286"/>
      <c r="G142" s="108" t="s">
        <v>32</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6"/>
    </row>
    <row r="143" spans="2:37" ht="37.5">
      <c r="B143" s="24"/>
      <c r="C143" s="24"/>
      <c r="D143" s="285"/>
      <c r="E143" s="285"/>
      <c r="F143" s="286"/>
      <c r="G143" s="108" t="s">
        <v>33</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6"/>
    </row>
    <row r="144" spans="2:37" ht="56.25">
      <c r="B144" s="24"/>
      <c r="C144" s="24"/>
      <c r="D144" s="285"/>
      <c r="E144" s="285"/>
      <c r="F144" s="286"/>
      <c r="G144" s="108" t="s">
        <v>409</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c r="AK144" s="266"/>
    </row>
    <row r="145" spans="2:37" ht="37.5">
      <c r="B145" s="24"/>
      <c r="C145" s="24"/>
      <c r="D145" s="285"/>
      <c r="E145" s="285"/>
      <c r="F145" s="286"/>
      <c r="G145" s="108" t="s">
        <v>410</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6"/>
    </row>
    <row r="146" spans="2:37" ht="56.25">
      <c r="B146" s="24"/>
      <c r="C146" s="24"/>
      <c r="D146" s="285"/>
      <c r="E146" s="285"/>
      <c r="F146" s="286"/>
      <c r="G146" s="108" t="s">
        <v>411</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c r="AK146" s="266"/>
    </row>
    <row r="147" spans="2:37" ht="37.5">
      <c r="B147" s="24"/>
      <c r="C147" s="24"/>
      <c r="D147" s="285"/>
      <c r="E147" s="285"/>
      <c r="F147" s="286"/>
      <c r="G147" s="108" t="s">
        <v>412</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f>
        <v>25000</v>
      </c>
      <c r="AK147" s="266"/>
    </row>
    <row r="148" spans="2:37" ht="37.5">
      <c r="B148" s="24"/>
      <c r="C148" s="24"/>
      <c r="D148" s="285"/>
      <c r="E148" s="285"/>
      <c r="F148" s="286"/>
      <c r="G148" s="108" t="s">
        <v>413</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6"/>
    </row>
    <row r="149" spans="2:37" ht="75">
      <c r="B149" s="24"/>
      <c r="C149" s="24"/>
      <c r="D149" s="285"/>
      <c r="E149" s="285"/>
      <c r="F149" s="286"/>
      <c r="G149" s="108" t="s">
        <v>414</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6"/>
    </row>
    <row r="150" spans="2:37" ht="37.5">
      <c r="B150" s="24"/>
      <c r="C150" s="24"/>
      <c r="D150" s="285"/>
      <c r="E150" s="285"/>
      <c r="F150" s="286"/>
      <c r="G150" s="108" t="s">
        <v>415</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c r="AK150" s="266"/>
    </row>
    <row r="151" spans="2:37" ht="37.5">
      <c r="B151" s="24"/>
      <c r="C151" s="24"/>
      <c r="D151" s="285"/>
      <c r="E151" s="285"/>
      <c r="F151" s="286"/>
      <c r="G151" s="108" t="s">
        <v>416</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c r="AK151" s="266"/>
    </row>
    <row r="152" spans="2:37" ht="75">
      <c r="B152" s="24"/>
      <c r="C152" s="24"/>
      <c r="D152" s="285"/>
      <c r="E152" s="285"/>
      <c r="F152" s="286"/>
      <c r="G152" s="108" t="s">
        <v>417</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c r="AK152" s="266"/>
    </row>
    <row r="153" spans="2:37" ht="37.5">
      <c r="B153" s="24"/>
      <c r="C153" s="24"/>
      <c r="D153" s="285"/>
      <c r="E153" s="285"/>
      <c r="F153" s="286"/>
      <c r="G153" s="108" t="s">
        <v>418</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6"/>
    </row>
    <row r="154" spans="2:37" ht="56.25">
      <c r="B154" s="24"/>
      <c r="C154" s="24"/>
      <c r="D154" s="285"/>
      <c r="E154" s="285"/>
      <c r="F154" s="286"/>
      <c r="G154" s="108" t="s">
        <v>509</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6"/>
    </row>
    <row r="155" spans="2:37" ht="37.5">
      <c r="B155" s="24"/>
      <c r="C155" s="24"/>
      <c r="D155" s="285"/>
      <c r="E155" s="285"/>
      <c r="F155" s="286"/>
      <c r="G155" s="108" t="s">
        <v>419</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c r="AK155" s="266"/>
    </row>
    <row r="156" spans="2:37" ht="37.5">
      <c r="B156" s="24"/>
      <c r="C156" s="24"/>
      <c r="D156" s="285"/>
      <c r="E156" s="285"/>
      <c r="F156" s="286"/>
      <c r="G156" s="108" t="s">
        <v>420</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c r="AC156" s="42"/>
      <c r="AD156" s="42"/>
      <c r="AE156" s="42"/>
      <c r="AF156" s="42"/>
      <c r="AG156" s="42"/>
      <c r="AH156" s="42"/>
      <c r="AI156" s="242"/>
      <c r="AK156" s="266"/>
    </row>
    <row r="157" spans="2:37" ht="37.5">
      <c r="B157" s="24"/>
      <c r="C157" s="24"/>
      <c r="D157" s="285"/>
      <c r="E157" s="285"/>
      <c r="F157" s="286"/>
      <c r="G157" s="108" t="s">
        <v>421</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6"/>
    </row>
    <row r="158" spans="2:37" ht="37.5">
      <c r="B158" s="24"/>
      <c r="C158" s="24"/>
      <c r="D158" s="285"/>
      <c r="E158" s="285"/>
      <c r="F158" s="286"/>
      <c r="G158" s="108" t="s">
        <v>422</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c r="AC158" s="42">
        <f>125000-80000</f>
        <v>45000</v>
      </c>
      <c r="AD158" s="42"/>
      <c r="AE158" s="42">
        <v>30262.49</v>
      </c>
      <c r="AF158" s="42"/>
      <c r="AG158" s="42">
        <f>294737.51-294000</f>
        <v>737.5100000000093</v>
      </c>
      <c r="AH158" s="42">
        <f>125000-26000</f>
        <v>99000</v>
      </c>
      <c r="AI158" s="242">
        <f>6184.4+408312.98</f>
        <v>414497.38</v>
      </c>
      <c r="AK158" s="266"/>
    </row>
    <row r="159" spans="2:37" ht="37.5">
      <c r="B159" s="24"/>
      <c r="C159" s="24"/>
      <c r="D159" s="285"/>
      <c r="E159" s="285"/>
      <c r="F159" s="286"/>
      <c r="G159" s="108" t="s">
        <v>423</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c r="AK159" s="266"/>
    </row>
    <row r="160" spans="2:37" ht="90" hidden="1">
      <c r="B160" s="19"/>
      <c r="C160" s="19"/>
      <c r="D160" s="285"/>
      <c r="E160" s="285"/>
      <c r="F160" s="286"/>
      <c r="G160" s="52" t="s">
        <v>125</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6"/>
    </row>
    <row r="161" spans="2:37" ht="90" hidden="1">
      <c r="B161" s="19"/>
      <c r="C161" s="19"/>
      <c r="D161" s="285"/>
      <c r="E161" s="285"/>
      <c r="F161" s="286"/>
      <c r="G161" s="52" t="s">
        <v>126</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6"/>
    </row>
    <row r="162" spans="2:37" ht="74.25" customHeight="1" hidden="1">
      <c r="B162" s="19"/>
      <c r="C162" s="19"/>
      <c r="D162" s="285"/>
      <c r="E162" s="285"/>
      <c r="F162" s="286"/>
      <c r="G162" s="52" t="s">
        <v>127</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6"/>
    </row>
    <row r="163" spans="2:37" ht="18.75">
      <c r="B163" s="24"/>
      <c r="C163" s="24"/>
      <c r="D163" s="284" t="s">
        <v>240</v>
      </c>
      <c r="E163" s="284" t="s">
        <v>651</v>
      </c>
      <c r="F163" s="282" t="s">
        <v>650</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1950800</v>
      </c>
      <c r="AC163" s="49">
        <f t="shared" si="17"/>
        <v>3054675.6</v>
      </c>
      <c r="AD163" s="49">
        <f t="shared" si="17"/>
        <v>4261500</v>
      </c>
      <c r="AE163" s="49">
        <f t="shared" si="17"/>
        <v>869600</v>
      </c>
      <c r="AF163" s="49">
        <f t="shared" si="17"/>
        <v>234212</v>
      </c>
      <c r="AG163" s="49">
        <f t="shared" si="17"/>
        <v>2837963</v>
      </c>
      <c r="AH163" s="49">
        <f t="shared" si="17"/>
        <v>4433489.4</v>
      </c>
      <c r="AI163" s="49">
        <f t="shared" si="17"/>
        <v>3722506.230000001</v>
      </c>
      <c r="AK163" s="266"/>
    </row>
    <row r="164" spans="2:37" ht="37.5">
      <c r="B164" s="19"/>
      <c r="C164" s="19"/>
      <c r="D164" s="285"/>
      <c r="E164" s="285"/>
      <c r="F164" s="286"/>
      <c r="G164" s="108" t="s">
        <v>424</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6"/>
    </row>
    <row r="165" spans="2:37" ht="37.5">
      <c r="B165" s="19"/>
      <c r="C165" s="19"/>
      <c r="D165" s="285"/>
      <c r="E165" s="285"/>
      <c r="F165" s="286"/>
      <c r="G165" s="108" t="s">
        <v>151</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35"/>
      <c r="AK165" s="266"/>
    </row>
    <row r="166" spans="2:37" ht="56.25">
      <c r="B166" s="19"/>
      <c r="C166" s="19"/>
      <c r="D166" s="285"/>
      <c r="E166" s="285"/>
      <c r="F166" s="286"/>
      <c r="G166" s="108" t="s">
        <v>609</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6"/>
    </row>
    <row r="167" spans="2:37" ht="37.5">
      <c r="B167" s="19"/>
      <c r="C167" s="19"/>
      <c r="D167" s="285"/>
      <c r="E167" s="285"/>
      <c r="F167" s="286"/>
      <c r="G167" s="108" t="s">
        <v>425</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v>34000</v>
      </c>
      <c r="AC167" s="42"/>
      <c r="AD167" s="42"/>
      <c r="AE167" s="42"/>
      <c r="AF167" s="42"/>
      <c r="AG167" s="42"/>
      <c r="AH167" s="42"/>
      <c r="AI167" s="35"/>
      <c r="AK167" s="266"/>
    </row>
    <row r="168" spans="2:37" ht="37.5">
      <c r="B168" s="19"/>
      <c r="C168" s="19"/>
      <c r="D168" s="285"/>
      <c r="E168" s="285"/>
      <c r="F168" s="286"/>
      <c r="G168" s="108" t="s">
        <v>426</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35"/>
      <c r="AK168" s="266"/>
    </row>
    <row r="169" spans="2:37" ht="37.5">
      <c r="B169" s="19"/>
      <c r="C169" s="19"/>
      <c r="D169" s="285"/>
      <c r="E169" s="285"/>
      <c r="F169" s="286"/>
      <c r="G169" s="108" t="s">
        <v>427</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35"/>
      <c r="AK169" s="266"/>
    </row>
    <row r="170" spans="2:37" ht="37.5">
      <c r="B170" s="19"/>
      <c r="C170" s="19"/>
      <c r="D170" s="285"/>
      <c r="E170" s="285"/>
      <c r="F170" s="286"/>
      <c r="G170" s="108" t="s">
        <v>428</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6"/>
    </row>
    <row r="171" spans="2:37" ht="56.25">
      <c r="B171" s="19"/>
      <c r="C171" s="19"/>
      <c r="D171" s="285"/>
      <c r="E171" s="285"/>
      <c r="F171" s="286"/>
      <c r="G171" s="108" t="s">
        <v>429</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35"/>
      <c r="AK171" s="266"/>
    </row>
    <row r="172" spans="2:37" ht="56.25">
      <c r="B172" s="19"/>
      <c r="C172" s="19"/>
      <c r="D172" s="285"/>
      <c r="E172" s="285"/>
      <c r="F172" s="286"/>
      <c r="G172" s="108" t="s">
        <v>610</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6"/>
    </row>
    <row r="173" spans="2:37" ht="37.5">
      <c r="B173" s="19"/>
      <c r="C173" s="19"/>
      <c r="D173" s="285"/>
      <c r="E173" s="285"/>
      <c r="F173" s="286"/>
      <c r="G173" s="108" t="s">
        <v>430</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6"/>
    </row>
    <row r="174" spans="2:37" ht="37.5">
      <c r="B174" s="19"/>
      <c r="C174" s="19"/>
      <c r="D174" s="285"/>
      <c r="E174" s="285"/>
      <c r="F174" s="286"/>
      <c r="G174" s="108" t="s">
        <v>431</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35"/>
      <c r="AK174" s="266"/>
    </row>
    <row r="175" spans="2:37" ht="37.5">
      <c r="B175" s="19"/>
      <c r="C175" s="19"/>
      <c r="D175" s="285"/>
      <c r="E175" s="285"/>
      <c r="F175" s="286"/>
      <c r="G175" s="108" t="s">
        <v>0</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6"/>
    </row>
    <row r="176" spans="2:37" ht="37.5">
      <c r="B176" s="19"/>
      <c r="C176" s="19"/>
      <c r="D176" s="285"/>
      <c r="E176" s="285"/>
      <c r="F176" s="286"/>
      <c r="G176" s="108" t="s">
        <v>1</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6"/>
    </row>
    <row r="177" spans="2:37" ht="37.5">
      <c r="B177" s="19"/>
      <c r="C177" s="19"/>
      <c r="D177" s="285"/>
      <c r="E177" s="285"/>
      <c r="F177" s="286"/>
      <c r="G177" s="108" t="s">
        <v>472</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35"/>
      <c r="AK177" s="266"/>
    </row>
    <row r="178" spans="2:37" ht="75">
      <c r="B178" s="19"/>
      <c r="C178" s="19"/>
      <c r="D178" s="285"/>
      <c r="E178" s="285"/>
      <c r="F178" s="286"/>
      <c r="G178" s="108" t="s">
        <v>473</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6"/>
    </row>
    <row r="179" spans="2:37" ht="37.5">
      <c r="B179" s="19"/>
      <c r="C179" s="19"/>
      <c r="D179" s="285"/>
      <c r="E179" s="285"/>
      <c r="F179" s="286"/>
      <c r="G179" s="108" t="s">
        <v>474</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6"/>
    </row>
    <row r="180" spans="2:37" ht="37.5">
      <c r="B180" s="19"/>
      <c r="C180" s="19"/>
      <c r="D180" s="285"/>
      <c r="E180" s="285"/>
      <c r="F180" s="286"/>
      <c r="G180" s="108" t="s">
        <v>475</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6"/>
    </row>
    <row r="181" spans="2:37" ht="131.25">
      <c r="B181" s="19"/>
      <c r="C181" s="19"/>
      <c r="D181" s="285"/>
      <c r="E181" s="285"/>
      <c r="F181" s="286"/>
      <c r="G181" s="108" t="s">
        <v>432</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35"/>
      <c r="AK181" s="266"/>
    </row>
    <row r="182" spans="2:37" ht="93.75">
      <c r="B182" s="19"/>
      <c r="C182" s="19"/>
      <c r="D182" s="285"/>
      <c r="E182" s="285"/>
      <c r="F182" s="286"/>
      <c r="G182" s="108" t="s">
        <v>758</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6"/>
    </row>
    <row r="183" spans="2:37" ht="56.25">
      <c r="B183" s="19"/>
      <c r="C183" s="19"/>
      <c r="D183" s="285"/>
      <c r="E183" s="285"/>
      <c r="F183" s="286"/>
      <c r="G183" s="108" t="s">
        <v>80</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6"/>
    </row>
    <row r="184" spans="2:37" ht="75">
      <c r="B184" s="19"/>
      <c r="C184" s="19"/>
      <c r="D184" s="285"/>
      <c r="E184" s="285"/>
      <c r="F184" s="286"/>
      <c r="G184" s="108" t="s">
        <v>476</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c r="AC184" s="42"/>
      <c r="AD184" s="42">
        <f>135000-135000</f>
        <v>0</v>
      </c>
      <c r="AE184" s="42"/>
      <c r="AF184" s="42"/>
      <c r="AG184" s="42"/>
      <c r="AH184" s="42"/>
      <c r="AI184" s="50">
        <f>2001+132999+134498.4</f>
        <v>269498.4</v>
      </c>
      <c r="AK184" s="266"/>
    </row>
    <row r="185" spans="2:37" ht="37.5">
      <c r="B185" s="19"/>
      <c r="C185" s="19"/>
      <c r="D185" s="285"/>
      <c r="E185" s="285"/>
      <c r="F185" s="286"/>
      <c r="G185" s="108" t="s">
        <v>477</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v>350000</v>
      </c>
      <c r="AC185" s="42">
        <f>200000-200000</f>
        <v>0</v>
      </c>
      <c r="AD185" s="42"/>
      <c r="AE185" s="42"/>
      <c r="AF185" s="42"/>
      <c r="AG185" s="42">
        <v>125000</v>
      </c>
      <c r="AH185" s="42">
        <f>200000-150000</f>
        <v>50000</v>
      </c>
      <c r="AI185" s="50">
        <f>418294</f>
        <v>418294</v>
      </c>
      <c r="AK185" s="266"/>
    </row>
    <row r="186" spans="2:37" ht="36" hidden="1">
      <c r="B186" s="19"/>
      <c r="C186" s="19"/>
      <c r="D186" s="285"/>
      <c r="E186" s="285"/>
      <c r="F186" s="286"/>
      <c r="G186" s="108" t="s">
        <v>478</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6"/>
    </row>
    <row r="187" spans="2:37" ht="37.5">
      <c r="B187" s="19"/>
      <c r="C187" s="19"/>
      <c r="D187" s="285"/>
      <c r="E187" s="285"/>
      <c r="F187" s="286"/>
      <c r="G187" s="108" t="s">
        <v>565</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c r="AC187" s="42">
        <v>145000</v>
      </c>
      <c r="AD187" s="42">
        <v>140000</v>
      </c>
      <c r="AE187" s="42"/>
      <c r="AF187" s="42"/>
      <c r="AG187" s="42"/>
      <c r="AH187" s="42"/>
      <c r="AI187" s="50">
        <f>4962.2</f>
        <v>4962.2</v>
      </c>
      <c r="AK187" s="266"/>
    </row>
    <row r="188" spans="2:37" ht="37.5">
      <c r="B188" s="19"/>
      <c r="C188" s="19"/>
      <c r="D188" s="285"/>
      <c r="E188" s="285"/>
      <c r="F188" s="286"/>
      <c r="G188" s="108" t="s">
        <v>479</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6"/>
    </row>
    <row r="189" spans="2:37" ht="56.25">
      <c r="B189" s="19"/>
      <c r="C189" s="19"/>
      <c r="D189" s="285"/>
      <c r="E189" s="285"/>
      <c r="F189" s="286"/>
      <c r="G189" s="108" t="s">
        <v>480</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6"/>
    </row>
    <row r="190" spans="2:37" ht="56.25">
      <c r="B190" s="19"/>
      <c r="C190" s="19"/>
      <c r="D190" s="285"/>
      <c r="E190" s="285"/>
      <c r="F190" s="286"/>
      <c r="G190" s="108" t="s">
        <v>481</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6"/>
    </row>
    <row r="191" spans="2:37" ht="54" hidden="1">
      <c r="B191" s="19"/>
      <c r="C191" s="19"/>
      <c r="D191" s="285"/>
      <c r="E191" s="285"/>
      <c r="F191" s="286"/>
      <c r="G191" s="108" t="s">
        <v>482</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6"/>
    </row>
    <row r="192" spans="2:37" ht="56.25">
      <c r="B192" s="19"/>
      <c r="C192" s="19"/>
      <c r="D192" s="285"/>
      <c r="E192" s="285"/>
      <c r="F192" s="286"/>
      <c r="G192" s="108" t="s">
        <v>483</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6"/>
    </row>
    <row r="193" spans="2:37" ht="56.25">
      <c r="B193" s="19"/>
      <c r="C193" s="19"/>
      <c r="D193" s="285"/>
      <c r="E193" s="285"/>
      <c r="F193" s="286"/>
      <c r="G193" s="108" t="s">
        <v>484</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6"/>
    </row>
    <row r="194" spans="2:37" ht="56.25">
      <c r="B194" s="19"/>
      <c r="C194" s="19"/>
      <c r="D194" s="285"/>
      <c r="E194" s="285"/>
      <c r="F194" s="286"/>
      <c r="G194" s="108" t="s">
        <v>485</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6"/>
    </row>
    <row r="195" spans="2:37" ht="56.25">
      <c r="B195" s="19"/>
      <c r="C195" s="19"/>
      <c r="D195" s="285"/>
      <c r="E195" s="285"/>
      <c r="F195" s="286"/>
      <c r="G195" s="108" t="s">
        <v>486</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6"/>
    </row>
    <row r="196" spans="2:37" ht="37.5">
      <c r="B196" s="19"/>
      <c r="C196" s="19"/>
      <c r="D196" s="285"/>
      <c r="E196" s="285"/>
      <c r="F196" s="286"/>
      <c r="G196" s="108" t="s">
        <v>487</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c r="AC196" s="243"/>
      <c r="AD196" s="42">
        <f>380000-350000</f>
        <v>30000</v>
      </c>
      <c r="AE196" s="42"/>
      <c r="AF196" s="42"/>
      <c r="AG196" s="42">
        <v>200000</v>
      </c>
      <c r="AH196" s="42">
        <v>200000</v>
      </c>
      <c r="AI196" s="50">
        <f>12000+468774</f>
        <v>480774</v>
      </c>
      <c r="AK196" s="266"/>
    </row>
    <row r="197" spans="2:37" ht="56.25">
      <c r="B197" s="19"/>
      <c r="C197" s="19"/>
      <c r="D197" s="285"/>
      <c r="E197" s="285"/>
      <c r="F197" s="286"/>
      <c r="G197" s="108" t="s">
        <v>18</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6"/>
    </row>
    <row r="198" spans="2:37" ht="56.25">
      <c r="B198" s="19"/>
      <c r="C198" s="19"/>
      <c r="D198" s="285"/>
      <c r="E198" s="285"/>
      <c r="F198" s="286"/>
      <c r="G198" s="108" t="s">
        <v>19</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c r="AC198" s="42"/>
      <c r="AD198" s="42">
        <v>45000</v>
      </c>
      <c r="AE198" s="42"/>
      <c r="AF198" s="42"/>
      <c r="AG198" s="42"/>
      <c r="AH198" s="42"/>
      <c r="AI198" s="50">
        <f>121621</f>
        <v>121621</v>
      </c>
      <c r="AK198" s="266"/>
    </row>
    <row r="199" spans="2:37" ht="75">
      <c r="B199" s="19"/>
      <c r="C199" s="19"/>
      <c r="D199" s="285"/>
      <c r="E199" s="285"/>
      <c r="F199" s="286"/>
      <c r="G199" s="108" t="s">
        <v>461</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c r="AC199" s="42"/>
      <c r="AD199" s="42">
        <v>200000</v>
      </c>
      <c r="AE199" s="42"/>
      <c r="AF199" s="42"/>
      <c r="AG199" s="42">
        <v>94263</v>
      </c>
      <c r="AH199" s="42"/>
      <c r="AI199" s="50">
        <f>126138.9</f>
        <v>126138.9</v>
      </c>
      <c r="AK199" s="266"/>
    </row>
    <row r="200" spans="2:37" ht="37.5">
      <c r="B200" s="19"/>
      <c r="C200" s="19"/>
      <c r="D200" s="285"/>
      <c r="E200" s="285"/>
      <c r="F200" s="286"/>
      <c r="G200" s="108" t="s">
        <v>462</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6"/>
    </row>
    <row r="201" spans="2:37" ht="37.5">
      <c r="B201" s="19"/>
      <c r="C201" s="19"/>
      <c r="D201" s="285"/>
      <c r="E201" s="285"/>
      <c r="F201" s="286"/>
      <c r="G201" s="108" t="s">
        <v>463</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c r="AC201" s="42">
        <v>85000</v>
      </c>
      <c r="AD201" s="42"/>
      <c r="AE201" s="42"/>
      <c r="AF201" s="42"/>
      <c r="AG201" s="42">
        <v>150000</v>
      </c>
      <c r="AH201" s="42"/>
      <c r="AI201" s="35"/>
      <c r="AK201" s="266"/>
    </row>
    <row r="202" spans="2:37" ht="37.5">
      <c r="B202" s="19"/>
      <c r="C202" s="19"/>
      <c r="D202" s="285"/>
      <c r="E202" s="285"/>
      <c r="F202" s="286"/>
      <c r="G202" s="108" t="s">
        <v>464</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c r="AC202" s="42"/>
      <c r="AD202" s="42"/>
      <c r="AE202" s="42"/>
      <c r="AF202" s="42"/>
      <c r="AG202" s="42">
        <v>200000</v>
      </c>
      <c r="AH202" s="42">
        <v>280000</v>
      </c>
      <c r="AI202" s="35"/>
      <c r="AK202" s="266"/>
    </row>
    <row r="203" spans="2:37" ht="112.5">
      <c r="B203" s="19"/>
      <c r="C203" s="19"/>
      <c r="D203" s="285"/>
      <c r="E203" s="285"/>
      <c r="F203" s="286"/>
      <c r="G203" s="108" t="s">
        <v>92</v>
      </c>
      <c r="H203" s="50"/>
      <c r="I203" s="92"/>
      <c r="J203" s="117"/>
      <c r="K203" s="35"/>
      <c r="L203" s="35"/>
      <c r="M203" s="35"/>
      <c r="N203" s="91">
        <v>3132</v>
      </c>
      <c r="O203" s="35"/>
      <c r="P203" s="121"/>
      <c r="Q203" s="50">
        <v>82149</v>
      </c>
      <c r="R203" s="50"/>
      <c r="S203" s="50"/>
      <c r="T203" s="50" t="s">
        <v>55</v>
      </c>
      <c r="U203" s="50"/>
      <c r="V203" s="50">
        <v>82149</v>
      </c>
      <c r="W203" s="35"/>
      <c r="X203" s="35"/>
      <c r="Y203" s="35"/>
      <c r="Z203" s="42">
        <v>82149</v>
      </c>
      <c r="AA203" s="42"/>
      <c r="AB203" s="42"/>
      <c r="AC203" s="42"/>
      <c r="AD203" s="42"/>
      <c r="AE203" s="42"/>
      <c r="AF203" s="42"/>
      <c r="AG203" s="42"/>
      <c r="AH203" s="42"/>
      <c r="AI203" s="35"/>
      <c r="AK203" s="266"/>
    </row>
    <row r="204" spans="2:37" ht="75">
      <c r="B204" s="19"/>
      <c r="C204" s="19"/>
      <c r="D204" s="285"/>
      <c r="E204" s="285"/>
      <c r="F204" s="286"/>
      <c r="G204" s="108" t="s">
        <v>465</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v>-120000</v>
      </c>
      <c r="AC204" s="42">
        <f>135000+120000</f>
        <v>255000</v>
      </c>
      <c r="AD204" s="42"/>
      <c r="AE204" s="42"/>
      <c r="AF204" s="42"/>
      <c r="AG204" s="42"/>
      <c r="AH204" s="42">
        <v>325000</v>
      </c>
      <c r="AI204" s="35"/>
      <c r="AK204" s="266"/>
    </row>
    <row r="205" spans="2:37" ht="75">
      <c r="B205" s="19"/>
      <c r="C205" s="19"/>
      <c r="D205" s="285"/>
      <c r="E205" s="285"/>
      <c r="F205" s="286"/>
      <c r="G205" s="108" t="s">
        <v>466</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v>-210000</v>
      </c>
      <c r="AC205" s="42">
        <v>80000</v>
      </c>
      <c r="AD205" s="42">
        <v>110000</v>
      </c>
      <c r="AE205" s="42">
        <v>100000</v>
      </c>
      <c r="AF205" s="42"/>
      <c r="AG205" s="42">
        <v>150000</v>
      </c>
      <c r="AH205" s="42"/>
      <c r="AI205" s="35"/>
      <c r="AK205" s="266"/>
    </row>
    <row r="206" spans="2:37" ht="75">
      <c r="B206" s="19"/>
      <c r="C206" s="19"/>
      <c r="D206" s="285"/>
      <c r="E206" s="285"/>
      <c r="F206" s="286"/>
      <c r="G206" s="108" t="s">
        <v>467</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v>-50000</v>
      </c>
      <c r="AC206" s="42">
        <v>10000</v>
      </c>
      <c r="AD206" s="42">
        <v>35000</v>
      </c>
      <c r="AE206" s="42">
        <v>65000</v>
      </c>
      <c r="AF206" s="42">
        <v>5000</v>
      </c>
      <c r="AG206" s="42"/>
      <c r="AH206" s="42"/>
      <c r="AI206" s="35"/>
      <c r="AK206" s="266"/>
    </row>
    <row r="207" spans="2:37" ht="75">
      <c r="B207" s="19"/>
      <c r="C207" s="19"/>
      <c r="D207" s="285"/>
      <c r="E207" s="285"/>
      <c r="F207" s="286"/>
      <c r="G207" s="108" t="s">
        <v>114</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6"/>
    </row>
    <row r="208" spans="2:37" ht="56.25">
      <c r="B208" s="19"/>
      <c r="C208" s="19"/>
      <c r="D208" s="285"/>
      <c r="E208" s="285"/>
      <c r="F208" s="286"/>
      <c r="G208" s="108" t="s">
        <v>115</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c r="AC208" s="42">
        <f>35000+100000</f>
        <v>135000</v>
      </c>
      <c r="AD208" s="42"/>
      <c r="AE208" s="42"/>
      <c r="AF208" s="42"/>
      <c r="AG208" s="42"/>
      <c r="AH208" s="42"/>
      <c r="AI208" s="35"/>
      <c r="AK208" s="266"/>
    </row>
    <row r="209" spans="2:37" ht="75">
      <c r="B209" s="19"/>
      <c r="C209" s="19"/>
      <c r="D209" s="285"/>
      <c r="E209" s="285"/>
      <c r="F209" s="286"/>
      <c r="G209" s="108" t="s">
        <v>116</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6"/>
    </row>
    <row r="210" spans="2:37" ht="56.25">
      <c r="B210" s="19"/>
      <c r="C210" s="19"/>
      <c r="D210" s="285"/>
      <c r="E210" s="285"/>
      <c r="F210" s="286"/>
      <c r="G210" s="108" t="s">
        <v>117</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6"/>
    </row>
    <row r="211" spans="2:37" ht="56.25">
      <c r="B211" s="19"/>
      <c r="C211" s="19"/>
      <c r="D211" s="285"/>
      <c r="E211" s="285"/>
      <c r="F211" s="286"/>
      <c r="G211" s="108" t="s">
        <v>118</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6"/>
    </row>
    <row r="212" spans="2:37" ht="75">
      <c r="B212" s="19"/>
      <c r="C212" s="19"/>
      <c r="D212" s="285"/>
      <c r="E212" s="285"/>
      <c r="F212" s="286"/>
      <c r="G212" s="108" t="s">
        <v>438</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c r="AC212" s="42">
        <v>45000</v>
      </c>
      <c r="AD212" s="42">
        <v>35000</v>
      </c>
      <c r="AE212" s="42"/>
      <c r="AF212" s="42"/>
      <c r="AG212" s="42"/>
      <c r="AH212" s="42"/>
      <c r="AI212" s="50">
        <f>3646</f>
        <v>3646</v>
      </c>
      <c r="AK212" s="266"/>
    </row>
    <row r="213" spans="2:37" ht="56.25">
      <c r="B213" s="19"/>
      <c r="C213" s="19"/>
      <c r="D213" s="285"/>
      <c r="E213" s="285"/>
      <c r="F213" s="286"/>
      <c r="G213" s="108" t="s">
        <v>439</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v>350000</v>
      </c>
      <c r="AC213" s="42">
        <f>175000-175000</f>
        <v>0</v>
      </c>
      <c r="AD213" s="42"/>
      <c r="AE213" s="42"/>
      <c r="AF213" s="42"/>
      <c r="AG213" s="42">
        <f>250000-175000</f>
        <v>75000</v>
      </c>
      <c r="AH213" s="42">
        <v>150000</v>
      </c>
      <c r="AI213" s="50">
        <f>6390.8+543583.22</f>
        <v>549974.02</v>
      </c>
      <c r="AK213" s="266"/>
    </row>
    <row r="214" spans="2:37" ht="56.25">
      <c r="B214" s="19"/>
      <c r="C214" s="19"/>
      <c r="D214" s="285"/>
      <c r="E214" s="285"/>
      <c r="F214" s="286"/>
      <c r="G214" s="108" t="s">
        <v>440</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c r="AC214" s="42"/>
      <c r="AD214" s="42">
        <v>60000</v>
      </c>
      <c r="AE214" s="42"/>
      <c r="AF214" s="42"/>
      <c r="AG214" s="42"/>
      <c r="AH214" s="42"/>
      <c r="AI214" s="50">
        <f>5162.2+144351.5</f>
        <v>149513.7</v>
      </c>
      <c r="AK214" s="266"/>
    </row>
    <row r="215" spans="2:37" ht="56.25">
      <c r="B215" s="19"/>
      <c r="C215" s="19"/>
      <c r="D215" s="285"/>
      <c r="E215" s="285"/>
      <c r="F215" s="286"/>
      <c r="G215" s="108" t="s">
        <v>441</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c r="AC215" s="42"/>
      <c r="AD215" s="42"/>
      <c r="AE215" s="42"/>
      <c r="AF215" s="42"/>
      <c r="AG215" s="42"/>
      <c r="AH215" s="42"/>
      <c r="AI215" s="35"/>
      <c r="AK215" s="266"/>
    </row>
    <row r="216" spans="2:37" ht="93.75">
      <c r="B216" s="19"/>
      <c r="C216" s="19"/>
      <c r="D216" s="285"/>
      <c r="E216" s="285"/>
      <c r="F216" s="286"/>
      <c r="G216" s="108" t="s">
        <v>442</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f>
        <v>494982.2</v>
      </c>
      <c r="AK216" s="266"/>
    </row>
    <row r="217" spans="2:37" ht="56.25">
      <c r="B217" s="19"/>
      <c r="C217" s="19"/>
      <c r="D217" s="285"/>
      <c r="E217" s="285"/>
      <c r="F217" s="286"/>
      <c r="G217" s="108" t="s">
        <v>443</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c r="AK217" s="266"/>
    </row>
    <row r="218" spans="2:37" ht="37.5">
      <c r="B218" s="19"/>
      <c r="C218" s="19"/>
      <c r="D218" s="285"/>
      <c r="E218" s="285"/>
      <c r="F218" s="286"/>
      <c r="G218" s="108" t="s">
        <v>444</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6"/>
    </row>
    <row r="219" spans="2:37" ht="56.25">
      <c r="B219" s="19"/>
      <c r="C219" s="19"/>
      <c r="D219" s="285"/>
      <c r="E219" s="285"/>
      <c r="F219" s="286"/>
      <c r="G219" s="108" t="s">
        <v>445</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6"/>
    </row>
    <row r="220" spans="2:37" ht="37.5">
      <c r="B220" s="19"/>
      <c r="C220" s="19"/>
      <c r="D220" s="285"/>
      <c r="E220" s="285"/>
      <c r="F220" s="286"/>
      <c r="G220" s="108" t="s">
        <v>446</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6"/>
    </row>
    <row r="221" spans="2:37" ht="56.25">
      <c r="B221" s="19"/>
      <c r="C221" s="19"/>
      <c r="D221" s="285"/>
      <c r="E221" s="285"/>
      <c r="F221" s="286"/>
      <c r="G221" s="108" t="s">
        <v>447</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c r="AC221" s="42">
        <v>400000</v>
      </c>
      <c r="AD221" s="42">
        <v>250000</v>
      </c>
      <c r="AE221" s="42"/>
      <c r="AF221" s="42">
        <v>37000</v>
      </c>
      <c r="AG221" s="42"/>
      <c r="AH221" s="42">
        <v>300000</v>
      </c>
      <c r="AI221" s="35"/>
      <c r="AK221" s="266"/>
    </row>
    <row r="222" spans="2:37" ht="56.25">
      <c r="B222" s="19"/>
      <c r="C222" s="19"/>
      <c r="D222" s="285"/>
      <c r="E222" s="285"/>
      <c r="F222" s="286"/>
      <c r="G222" s="108" t="s">
        <v>448</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6"/>
    </row>
    <row r="223" spans="2:37" ht="37.5">
      <c r="B223" s="19"/>
      <c r="C223" s="19"/>
      <c r="D223" s="285"/>
      <c r="E223" s="285"/>
      <c r="F223" s="286"/>
      <c r="G223" s="108" t="s">
        <v>449</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f>
        <v>244987.6</v>
      </c>
      <c r="AK223" s="266"/>
    </row>
    <row r="224" spans="2:37" ht="37.5">
      <c r="B224" s="19"/>
      <c r="C224" s="19"/>
      <c r="D224" s="285"/>
      <c r="E224" s="285"/>
      <c r="F224" s="286"/>
      <c r="G224" s="108" t="s">
        <v>450</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35"/>
      <c r="AK224" s="266"/>
    </row>
    <row r="225" spans="2:37" ht="56.25">
      <c r="B225" s="19"/>
      <c r="C225" s="19"/>
      <c r="D225" s="285"/>
      <c r="E225" s="285"/>
      <c r="F225" s="286"/>
      <c r="G225" s="108" t="s">
        <v>451</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6"/>
    </row>
    <row r="226" spans="2:37" ht="37.5">
      <c r="B226" s="19"/>
      <c r="C226" s="19"/>
      <c r="D226" s="285"/>
      <c r="E226" s="285"/>
      <c r="F226" s="286"/>
      <c r="G226" s="108" t="s">
        <v>452</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6"/>
    </row>
    <row r="227" spans="2:37" ht="56.25">
      <c r="B227" s="19"/>
      <c r="C227" s="19"/>
      <c r="D227" s="285"/>
      <c r="E227" s="285"/>
      <c r="F227" s="286"/>
      <c r="G227" s="108" t="s">
        <v>453</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6"/>
    </row>
    <row r="228" spans="2:37" ht="37.5">
      <c r="B228" s="19"/>
      <c r="C228" s="19"/>
      <c r="D228" s="285"/>
      <c r="E228" s="285"/>
      <c r="F228" s="286"/>
      <c r="G228" s="108" t="s">
        <v>454</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6"/>
    </row>
    <row r="229" spans="2:37" ht="37.5">
      <c r="B229" s="19"/>
      <c r="C229" s="19"/>
      <c r="D229" s="285"/>
      <c r="E229" s="285"/>
      <c r="F229" s="286"/>
      <c r="G229" s="108" t="s">
        <v>455</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6"/>
    </row>
    <row r="230" spans="2:37" ht="56.25">
      <c r="B230" s="19"/>
      <c r="C230" s="19"/>
      <c r="D230" s="285"/>
      <c r="E230" s="285"/>
      <c r="F230" s="286"/>
      <c r="G230" s="108" t="s">
        <v>456</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35"/>
      <c r="AK230" s="266"/>
    </row>
    <row r="231" spans="2:37" ht="37.5">
      <c r="B231" s="19"/>
      <c r="C231" s="19"/>
      <c r="D231" s="285"/>
      <c r="E231" s="285"/>
      <c r="F231" s="286"/>
      <c r="G231" s="108" t="s">
        <v>457</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c r="AC231" s="42">
        <v>130000</v>
      </c>
      <c r="AD231" s="42"/>
      <c r="AE231" s="42"/>
      <c r="AF231" s="42"/>
      <c r="AG231" s="42"/>
      <c r="AH231" s="42">
        <v>200000</v>
      </c>
      <c r="AI231" s="35"/>
      <c r="AK231" s="266"/>
    </row>
    <row r="232" spans="2:37" ht="56.25">
      <c r="B232" s="19"/>
      <c r="C232" s="19"/>
      <c r="D232" s="285"/>
      <c r="E232" s="285"/>
      <c r="F232" s="286"/>
      <c r="G232" s="108" t="s">
        <v>458</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f>
        <v>8060.4</v>
      </c>
      <c r="AK232" s="266"/>
    </row>
    <row r="233" spans="2:37" ht="56.25">
      <c r="B233" s="19"/>
      <c r="C233" s="19"/>
      <c r="D233" s="285"/>
      <c r="E233" s="285"/>
      <c r="F233" s="286"/>
      <c r="G233" s="108" t="s">
        <v>459</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6"/>
    </row>
    <row r="234" spans="2:37" ht="93.75">
      <c r="B234" s="19"/>
      <c r="C234" s="19"/>
      <c r="D234" s="285"/>
      <c r="E234" s="285"/>
      <c r="F234" s="286"/>
      <c r="G234" s="108" t="s">
        <v>128</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6"/>
    </row>
    <row r="235" spans="2:37" ht="56.25">
      <c r="B235" s="19"/>
      <c r="C235" s="19"/>
      <c r="D235" s="285"/>
      <c r="E235" s="285"/>
      <c r="F235" s="286"/>
      <c r="G235" s="108" t="s">
        <v>129</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c r="AC235" s="42"/>
      <c r="AD235" s="42"/>
      <c r="AE235" s="42">
        <v>150000</v>
      </c>
      <c r="AF235" s="42"/>
      <c r="AG235" s="42"/>
      <c r="AH235" s="42"/>
      <c r="AI235" s="35"/>
      <c r="AK235" s="266"/>
    </row>
    <row r="236" spans="2:37" ht="36" hidden="1">
      <c r="B236" s="19"/>
      <c r="C236" s="19"/>
      <c r="D236" s="285"/>
      <c r="E236" s="285"/>
      <c r="F236" s="286"/>
      <c r="G236" s="108" t="s">
        <v>130</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6"/>
    </row>
    <row r="237" spans="2:37" ht="56.25">
      <c r="B237" s="19"/>
      <c r="C237" s="19"/>
      <c r="D237" s="285"/>
      <c r="E237" s="285"/>
      <c r="F237" s="286"/>
      <c r="G237" s="108" t="s">
        <v>131</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c r="AC237" s="42"/>
      <c r="AD237" s="42"/>
      <c r="AE237" s="42"/>
      <c r="AF237" s="42"/>
      <c r="AG237" s="42"/>
      <c r="AH237" s="42"/>
      <c r="AI237" s="50">
        <f>1011.67</f>
        <v>1011.67</v>
      </c>
      <c r="AK237" s="266"/>
    </row>
    <row r="238" spans="2:37" ht="37.5">
      <c r="B238" s="19"/>
      <c r="C238" s="19"/>
      <c r="D238" s="285"/>
      <c r="E238" s="285"/>
      <c r="F238" s="286"/>
      <c r="G238" s="108" t="s">
        <v>508</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6"/>
    </row>
    <row r="239" spans="2:37" ht="37.5">
      <c r="B239" s="19"/>
      <c r="C239" s="19"/>
      <c r="D239" s="285"/>
      <c r="E239" s="285"/>
      <c r="F239" s="286"/>
      <c r="G239" s="108" t="s">
        <v>132</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6"/>
    </row>
    <row r="240" spans="2:37" ht="37.5">
      <c r="B240" s="19"/>
      <c r="C240" s="19"/>
      <c r="D240" s="285"/>
      <c r="E240" s="285"/>
      <c r="F240" s="286"/>
      <c r="G240" s="108" t="s">
        <v>133</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6"/>
    </row>
    <row r="241" spans="2:37" ht="56.25">
      <c r="B241" s="19"/>
      <c r="C241" s="19"/>
      <c r="D241" s="285"/>
      <c r="E241" s="285"/>
      <c r="F241" s="286"/>
      <c r="G241" s="108" t="s">
        <v>134</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35"/>
      <c r="AK241" s="266"/>
    </row>
    <row r="242" spans="2:37" ht="56.25">
      <c r="B242" s="19"/>
      <c r="C242" s="19"/>
      <c r="D242" s="285"/>
      <c r="E242" s="285"/>
      <c r="F242" s="286"/>
      <c r="G242" s="108" t="s">
        <v>135</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6"/>
    </row>
    <row r="243" spans="2:37" ht="56.25">
      <c r="B243" s="19"/>
      <c r="C243" s="19"/>
      <c r="D243" s="285"/>
      <c r="E243" s="285"/>
      <c r="F243" s="286"/>
      <c r="G243" s="108" t="s">
        <v>136</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6"/>
    </row>
    <row r="244" spans="2:37" ht="56.25">
      <c r="B244" s="19"/>
      <c r="C244" s="19"/>
      <c r="D244" s="285"/>
      <c r="E244" s="285"/>
      <c r="F244" s="286"/>
      <c r="G244" s="108" t="s">
        <v>137</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6"/>
    </row>
    <row r="245" spans="2:37" ht="36" hidden="1">
      <c r="B245" s="19"/>
      <c r="C245" s="19"/>
      <c r="D245" s="285"/>
      <c r="E245" s="285"/>
      <c r="F245" s="286"/>
      <c r="G245" s="108" t="s">
        <v>138</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6"/>
    </row>
    <row r="246" spans="2:37" ht="36" hidden="1">
      <c r="B246" s="19"/>
      <c r="C246" s="19"/>
      <c r="D246" s="285"/>
      <c r="E246" s="285"/>
      <c r="F246" s="286"/>
      <c r="G246" s="108" t="s">
        <v>139</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6"/>
    </row>
    <row r="247" spans="2:37" ht="56.25">
      <c r="B247" s="19"/>
      <c r="C247" s="19"/>
      <c r="D247" s="285"/>
      <c r="E247" s="285"/>
      <c r="F247" s="286"/>
      <c r="G247" s="108" t="s">
        <v>140</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35"/>
      <c r="AK247" s="266"/>
    </row>
    <row r="248" spans="2:37" ht="90" hidden="1">
      <c r="B248" s="19"/>
      <c r="C248" s="19"/>
      <c r="D248" s="285"/>
      <c r="E248" s="285"/>
      <c r="F248" s="286"/>
      <c r="G248" s="52" t="s">
        <v>76</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6"/>
    </row>
    <row r="249" spans="2:37" ht="18.75">
      <c r="B249" s="19"/>
      <c r="C249" s="19"/>
      <c r="D249" s="280" t="s">
        <v>241</v>
      </c>
      <c r="E249" s="280" t="s">
        <v>185</v>
      </c>
      <c r="F249" s="282" t="s">
        <v>112</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639412.29</v>
      </c>
      <c r="AK249" s="266"/>
    </row>
    <row r="250" spans="2:37" ht="131.25">
      <c r="B250" s="19"/>
      <c r="C250" s="19"/>
      <c r="D250" s="310"/>
      <c r="E250" s="310"/>
      <c r="F250" s="286"/>
      <c r="G250" s="94" t="s">
        <v>143</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6"/>
    </row>
    <row r="251" spans="2:37" ht="112.5">
      <c r="B251" s="19"/>
      <c r="C251" s="19"/>
      <c r="D251" s="310"/>
      <c r="E251" s="310"/>
      <c r="F251" s="286"/>
      <c r="G251" s="94" t="s">
        <v>144</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6"/>
    </row>
    <row r="252" spans="2:37" ht="150">
      <c r="B252" s="19"/>
      <c r="C252" s="19"/>
      <c r="D252" s="310"/>
      <c r="E252" s="310"/>
      <c r="F252" s="286"/>
      <c r="G252" s="94" t="s">
        <v>145</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f>
        <v>180000</v>
      </c>
      <c r="AK252" s="266"/>
    </row>
    <row r="253" spans="2:37" ht="112.5">
      <c r="B253" s="19"/>
      <c r="C253" s="19"/>
      <c r="D253" s="310"/>
      <c r="E253" s="310"/>
      <c r="F253" s="286"/>
      <c r="G253" s="94" t="s">
        <v>511</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f>
        <v>84900</v>
      </c>
      <c r="AK253" s="266"/>
    </row>
    <row r="254" spans="2:37" ht="37.5">
      <c r="B254" s="19"/>
      <c r="C254" s="19"/>
      <c r="D254" s="310"/>
      <c r="E254" s="310"/>
      <c r="F254" s="286"/>
      <c r="G254" s="108" t="s">
        <v>512</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6"/>
    </row>
    <row r="255" spans="2:37" ht="56.25">
      <c r="B255" s="19"/>
      <c r="C255" s="19"/>
      <c r="D255" s="310"/>
      <c r="E255" s="310"/>
      <c r="F255" s="286"/>
      <c r="G255" s="94" t="s">
        <v>513</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6"/>
    </row>
    <row r="256" spans="2:37" ht="56.25">
      <c r="B256" s="19"/>
      <c r="C256" s="19"/>
      <c r="D256" s="310"/>
      <c r="E256" s="310"/>
      <c r="F256" s="286"/>
      <c r="G256" s="94" t="s">
        <v>514</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6"/>
    </row>
    <row r="257" spans="2:37" ht="56.25">
      <c r="B257" s="19"/>
      <c r="C257" s="19"/>
      <c r="D257" s="310"/>
      <c r="E257" s="310"/>
      <c r="F257" s="286"/>
      <c r="G257" s="94" t="s">
        <v>515</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6"/>
    </row>
    <row r="258" spans="2:37" ht="56.25">
      <c r="B258" s="19"/>
      <c r="C258" s="19"/>
      <c r="D258" s="310"/>
      <c r="E258" s="310"/>
      <c r="F258" s="286"/>
      <c r="G258" s="94" t="s">
        <v>516</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6"/>
    </row>
    <row r="259" spans="2:37" ht="131.25">
      <c r="B259" s="19"/>
      <c r="C259" s="19"/>
      <c r="D259" s="310"/>
      <c r="E259" s="310"/>
      <c r="F259" s="286"/>
      <c r="G259" s="94" t="s">
        <v>433</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6"/>
    </row>
    <row r="260" spans="2:37" ht="56.25">
      <c r="B260" s="19"/>
      <c r="C260" s="19"/>
      <c r="D260" s="310"/>
      <c r="E260" s="310"/>
      <c r="F260" s="286"/>
      <c r="G260" s="94" t="s">
        <v>580</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c r="AK260" s="266"/>
    </row>
    <row r="261" spans="2:37" ht="56.25">
      <c r="B261" s="19"/>
      <c r="C261" s="19"/>
      <c r="D261" s="310"/>
      <c r="E261" s="310"/>
      <c r="F261" s="286"/>
      <c r="G261" s="94" t="s">
        <v>581</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c r="AK261" s="266"/>
    </row>
    <row r="262" spans="2:37" ht="56.25">
      <c r="B262" s="19"/>
      <c r="C262" s="19"/>
      <c r="D262" s="310"/>
      <c r="E262" s="310"/>
      <c r="F262" s="286"/>
      <c r="G262" s="94" t="s">
        <v>582</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c r="AK262" s="266"/>
    </row>
    <row r="263" spans="2:37" ht="75">
      <c r="B263" s="19"/>
      <c r="C263" s="19"/>
      <c r="D263" s="310"/>
      <c r="E263" s="310"/>
      <c r="F263" s="286"/>
      <c r="G263" s="94" t="s">
        <v>583</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6"/>
    </row>
    <row r="264" spans="2:37" ht="56.25">
      <c r="B264" s="19"/>
      <c r="C264" s="19"/>
      <c r="D264" s="310"/>
      <c r="E264" s="310"/>
      <c r="F264" s="286"/>
      <c r="G264" s="94" t="s">
        <v>584</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6"/>
    </row>
    <row r="265" spans="2:37" ht="56.25">
      <c r="B265" s="19"/>
      <c r="C265" s="19"/>
      <c r="D265" s="310"/>
      <c r="E265" s="310"/>
      <c r="F265" s="286"/>
      <c r="G265" s="94" t="s">
        <v>504</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6"/>
    </row>
    <row r="266" spans="2:37" ht="37.5">
      <c r="B266" s="19"/>
      <c r="C266" s="19"/>
      <c r="D266" s="310"/>
      <c r="E266" s="310"/>
      <c r="F266" s="286"/>
      <c r="G266" s="94" t="s">
        <v>563</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c r="AK266" s="266"/>
    </row>
    <row r="267" spans="2:37" ht="56.25">
      <c r="B267" s="19"/>
      <c r="C267" s="19"/>
      <c r="D267" s="310"/>
      <c r="E267" s="310"/>
      <c r="F267" s="286"/>
      <c r="G267" s="94" t="s">
        <v>269</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f>
        <v>21369.6</v>
      </c>
      <c r="AK267" s="266"/>
    </row>
    <row r="268" spans="2:37" ht="18.75">
      <c r="B268" s="19"/>
      <c r="C268" s="19"/>
      <c r="D268" s="311" t="s">
        <v>505</v>
      </c>
      <c r="E268" s="311" t="s">
        <v>567</v>
      </c>
      <c r="F268" s="312" t="s">
        <v>517</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6"/>
    </row>
    <row r="269" spans="2:37" ht="93.75">
      <c r="B269" s="19"/>
      <c r="C269" s="19"/>
      <c r="D269" s="311"/>
      <c r="E269" s="311"/>
      <c r="F269" s="312"/>
      <c r="G269" s="108" t="s">
        <v>518</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6"/>
    </row>
    <row r="270" spans="2:37" ht="18.75">
      <c r="B270" s="19"/>
      <c r="C270" s="19"/>
      <c r="D270" s="280" t="s">
        <v>242</v>
      </c>
      <c r="E270" s="280" t="s">
        <v>567</v>
      </c>
      <c r="F270" s="282" t="s">
        <v>566</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6"/>
    </row>
    <row r="271" spans="2:37" ht="75">
      <c r="B271" s="19"/>
      <c r="C271" s="19"/>
      <c r="D271" s="310"/>
      <c r="E271" s="310"/>
      <c r="F271" s="286"/>
      <c r="G271" s="129" t="s">
        <v>519</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6"/>
    </row>
    <row r="272" spans="2:37" ht="56.25">
      <c r="B272" s="19"/>
      <c r="C272" s="19"/>
      <c r="D272" s="310"/>
      <c r="E272" s="310"/>
      <c r="F272" s="286"/>
      <c r="G272" s="129" t="s">
        <v>520</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6"/>
    </row>
    <row r="273" spans="2:37" ht="18.75">
      <c r="B273" s="19"/>
      <c r="C273" s="19"/>
      <c r="D273" s="280" t="s">
        <v>204</v>
      </c>
      <c r="E273" s="280" t="s">
        <v>203</v>
      </c>
      <c r="F273" s="282" t="s">
        <v>250</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6"/>
    </row>
    <row r="274" spans="2:37" ht="56.25">
      <c r="B274" s="19"/>
      <c r="C274" s="19"/>
      <c r="D274" s="310"/>
      <c r="E274" s="310"/>
      <c r="F274" s="286"/>
      <c r="G274" s="94" t="s">
        <v>521</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6"/>
    </row>
    <row r="275" spans="2:37" ht="56.25">
      <c r="B275" s="19"/>
      <c r="C275" s="19"/>
      <c r="D275" s="310"/>
      <c r="E275" s="310"/>
      <c r="F275" s="286"/>
      <c r="G275" s="94" t="s">
        <v>522</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6"/>
    </row>
    <row r="276" spans="2:37" ht="56.25">
      <c r="B276" s="19"/>
      <c r="C276" s="19"/>
      <c r="D276" s="310"/>
      <c r="E276" s="310"/>
      <c r="F276" s="286"/>
      <c r="G276" s="94" t="s">
        <v>523</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6"/>
    </row>
    <row r="277" spans="2:37" ht="56.25">
      <c r="B277" s="19"/>
      <c r="C277" s="19"/>
      <c r="D277" s="310"/>
      <c r="E277" s="310"/>
      <c r="F277" s="286"/>
      <c r="G277" s="94" t="s">
        <v>524</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6"/>
    </row>
    <row r="278" spans="2:37" ht="18.75">
      <c r="B278" s="24"/>
      <c r="C278" s="24"/>
      <c r="D278" s="284" t="s">
        <v>205</v>
      </c>
      <c r="E278" s="284" t="s">
        <v>208</v>
      </c>
      <c r="F278" s="282" t="s">
        <v>243</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0</v>
      </c>
      <c r="AC278" s="49">
        <f t="shared" si="27"/>
        <v>150000</v>
      </c>
      <c r="AD278" s="49">
        <f t="shared" si="27"/>
        <v>442100</v>
      </c>
      <c r="AE278" s="49">
        <f t="shared" si="27"/>
        <v>0</v>
      </c>
      <c r="AF278" s="49">
        <f t="shared" si="27"/>
        <v>185000</v>
      </c>
      <c r="AG278" s="49">
        <f t="shared" si="27"/>
        <v>150000</v>
      </c>
      <c r="AH278" s="49">
        <f t="shared" si="27"/>
        <v>300000</v>
      </c>
      <c r="AI278" s="49">
        <f t="shared" si="27"/>
        <v>0</v>
      </c>
      <c r="AK278" s="266"/>
    </row>
    <row r="279" spans="2:37" ht="37.5">
      <c r="B279" s="24"/>
      <c r="C279" s="24"/>
      <c r="D279" s="285"/>
      <c r="E279" s="285"/>
      <c r="F279" s="286"/>
      <c r="G279" s="108" t="s">
        <v>525</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6"/>
    </row>
    <row r="280" spans="2:37" ht="37.5">
      <c r="B280" s="24"/>
      <c r="C280" s="24"/>
      <c r="D280" s="285"/>
      <c r="E280" s="285"/>
      <c r="F280" s="286"/>
      <c r="G280" s="129" t="s">
        <v>526</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6"/>
    </row>
    <row r="281" spans="2:37" ht="37.5">
      <c r="B281" s="24"/>
      <c r="C281" s="24"/>
      <c r="D281" s="285"/>
      <c r="E281" s="285"/>
      <c r="F281" s="286"/>
      <c r="G281" s="129" t="s">
        <v>611</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c r="AC281" s="42"/>
      <c r="AD281" s="42">
        <v>12500</v>
      </c>
      <c r="AE281" s="42"/>
      <c r="AF281" s="42"/>
      <c r="AG281" s="42"/>
      <c r="AH281" s="42"/>
      <c r="AI281" s="42"/>
      <c r="AK281" s="266"/>
    </row>
    <row r="282" spans="2:37" ht="56.25">
      <c r="B282" s="24"/>
      <c r="C282" s="24"/>
      <c r="D282" s="285"/>
      <c r="E282" s="285"/>
      <c r="F282" s="286"/>
      <c r="G282" s="108" t="s">
        <v>527</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6"/>
    </row>
    <row r="283" spans="2:37" ht="75">
      <c r="B283" s="24"/>
      <c r="C283" s="24"/>
      <c r="D283" s="285"/>
      <c r="E283" s="285"/>
      <c r="F283" s="286"/>
      <c r="G283" s="108" t="s">
        <v>547</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6"/>
    </row>
    <row r="284" spans="2:37" ht="37.5">
      <c r="B284" s="24"/>
      <c r="C284" s="24"/>
      <c r="D284" s="285"/>
      <c r="E284" s="285"/>
      <c r="F284" s="286"/>
      <c r="G284" s="130" t="s">
        <v>548</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c r="AC284" s="42"/>
      <c r="AD284" s="42"/>
      <c r="AE284" s="42"/>
      <c r="AF284" s="42">
        <v>180000</v>
      </c>
      <c r="AG284" s="42"/>
      <c r="AH284" s="42">
        <v>70000</v>
      </c>
      <c r="AI284" s="42"/>
      <c r="AK284" s="266"/>
    </row>
    <row r="285" spans="2:37" ht="18.75">
      <c r="B285" s="24"/>
      <c r="C285" s="24"/>
      <c r="D285" s="313" t="s">
        <v>549</v>
      </c>
      <c r="E285" s="311" t="s">
        <v>208</v>
      </c>
      <c r="F285" s="312" t="s">
        <v>550</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6"/>
    </row>
    <row r="286" spans="2:37" ht="56.25">
      <c r="B286" s="24"/>
      <c r="C286" s="24"/>
      <c r="D286" s="313"/>
      <c r="E286" s="311"/>
      <c r="F286" s="312"/>
      <c r="G286" s="130" t="s">
        <v>551</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6"/>
    </row>
    <row r="287" spans="2:37" ht="56.25">
      <c r="B287" s="24"/>
      <c r="C287" s="24"/>
      <c r="D287" s="313"/>
      <c r="E287" s="311"/>
      <c r="F287" s="312"/>
      <c r="G287" s="130" t="s">
        <v>552</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6"/>
    </row>
    <row r="288" spans="2:37" ht="75">
      <c r="B288" s="24"/>
      <c r="C288" s="24"/>
      <c r="D288" s="313"/>
      <c r="E288" s="311"/>
      <c r="F288" s="312"/>
      <c r="G288" s="130" t="s">
        <v>553</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6"/>
    </row>
    <row r="289" spans="2:37" ht="75">
      <c r="B289" s="24"/>
      <c r="C289" s="24"/>
      <c r="D289" s="313"/>
      <c r="E289" s="311"/>
      <c r="F289" s="312"/>
      <c r="G289" s="130" t="s">
        <v>554</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6"/>
    </row>
    <row r="290" spans="2:37" ht="56.25">
      <c r="B290" s="24"/>
      <c r="C290" s="24"/>
      <c r="D290" s="313"/>
      <c r="E290" s="311"/>
      <c r="F290" s="312"/>
      <c r="G290" s="130" t="s">
        <v>555</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6"/>
    </row>
    <row r="291" spans="2:37" ht="56.25">
      <c r="B291" s="24"/>
      <c r="C291" s="24"/>
      <c r="D291" s="313"/>
      <c r="E291" s="311"/>
      <c r="F291" s="312"/>
      <c r="G291" s="130" t="s">
        <v>556</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6"/>
    </row>
    <row r="292" spans="2:37" ht="75">
      <c r="B292" s="24"/>
      <c r="C292" s="24"/>
      <c r="D292" s="313"/>
      <c r="E292" s="311"/>
      <c r="F292" s="312"/>
      <c r="G292" s="130" t="s">
        <v>557</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6"/>
    </row>
    <row r="293" spans="2:37" ht="56.25">
      <c r="B293" s="24"/>
      <c r="C293" s="24"/>
      <c r="D293" s="313"/>
      <c r="E293" s="311"/>
      <c r="F293" s="312"/>
      <c r="G293" s="130" t="s">
        <v>153</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6"/>
    </row>
    <row r="294" spans="2:37" ht="75">
      <c r="B294" s="24"/>
      <c r="C294" s="24"/>
      <c r="D294" s="313"/>
      <c r="E294" s="311"/>
      <c r="F294" s="312"/>
      <c r="G294" s="130" t="s">
        <v>154</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6"/>
    </row>
    <row r="295" spans="2:37" ht="75">
      <c r="B295" s="24"/>
      <c r="C295" s="24"/>
      <c r="D295" s="313"/>
      <c r="E295" s="311"/>
      <c r="F295" s="312"/>
      <c r="G295" s="130" t="s">
        <v>155</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6"/>
    </row>
    <row r="296" spans="2:37" ht="56.25">
      <c r="B296" s="24"/>
      <c r="C296" s="24"/>
      <c r="D296" s="313"/>
      <c r="E296" s="311"/>
      <c r="F296" s="312"/>
      <c r="G296" s="130" t="s">
        <v>156</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6"/>
    </row>
    <row r="297" spans="2:37" ht="56.25">
      <c r="B297" s="24"/>
      <c r="C297" s="24"/>
      <c r="D297" s="313"/>
      <c r="E297" s="311"/>
      <c r="F297" s="312"/>
      <c r="G297" s="130" t="s">
        <v>157</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6"/>
    </row>
    <row r="298" spans="2:37" ht="56.25">
      <c r="B298" s="24"/>
      <c r="C298" s="24"/>
      <c r="D298" s="313"/>
      <c r="E298" s="311"/>
      <c r="F298" s="312"/>
      <c r="G298" s="130" t="s">
        <v>158</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6"/>
    </row>
    <row r="299" spans="2:37" ht="56.25">
      <c r="B299" s="24"/>
      <c r="C299" s="24"/>
      <c r="D299" s="313"/>
      <c r="E299" s="311"/>
      <c r="F299" s="312"/>
      <c r="G299" s="130" t="s">
        <v>159</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6"/>
    </row>
    <row r="300" spans="2:37" ht="56.25">
      <c r="B300" s="24"/>
      <c r="C300" s="24"/>
      <c r="D300" s="313"/>
      <c r="E300" s="311"/>
      <c r="F300" s="312"/>
      <c r="G300" s="130" t="s">
        <v>569</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6"/>
    </row>
    <row r="301" spans="2:37" ht="18.75">
      <c r="B301" s="19"/>
      <c r="C301" s="19"/>
      <c r="D301" s="280" t="s">
        <v>206</v>
      </c>
      <c r="E301" s="280" t="s">
        <v>209</v>
      </c>
      <c r="F301" s="282" t="s">
        <v>587</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6"/>
    </row>
    <row r="302" spans="2:37" ht="37.5">
      <c r="B302" s="19"/>
      <c r="C302" s="19"/>
      <c r="D302" s="310"/>
      <c r="E302" s="310"/>
      <c r="F302" s="286"/>
      <c r="G302" s="130" t="s">
        <v>570</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6"/>
    </row>
    <row r="303" spans="2:37" ht="37.5">
      <c r="B303" s="19"/>
      <c r="C303" s="19"/>
      <c r="D303" s="310"/>
      <c r="E303" s="310"/>
      <c r="F303" s="286"/>
      <c r="G303" s="130" t="s">
        <v>571</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6"/>
    </row>
    <row r="304" spans="2:37" ht="37.5">
      <c r="B304" s="19"/>
      <c r="C304" s="19"/>
      <c r="D304" s="310"/>
      <c r="E304" s="310"/>
      <c r="F304" s="286"/>
      <c r="G304" s="130" t="s">
        <v>572</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6"/>
    </row>
    <row r="305" spans="2:37" ht="37.5">
      <c r="B305" s="19"/>
      <c r="C305" s="19"/>
      <c r="D305" s="310"/>
      <c r="E305" s="310"/>
      <c r="F305" s="286"/>
      <c r="G305" s="130" t="s">
        <v>573</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6"/>
    </row>
    <row r="306" spans="2:37" ht="37.5">
      <c r="B306" s="19"/>
      <c r="C306" s="19"/>
      <c r="D306" s="310"/>
      <c r="E306" s="310"/>
      <c r="F306" s="286"/>
      <c r="G306" s="130" t="s">
        <v>574</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6"/>
    </row>
    <row r="307" spans="2:37" ht="37.5">
      <c r="B307" s="19"/>
      <c r="C307" s="19"/>
      <c r="D307" s="310"/>
      <c r="E307" s="310"/>
      <c r="F307" s="286"/>
      <c r="G307" s="130" t="s">
        <v>575</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6"/>
    </row>
    <row r="308" spans="2:37" ht="37.5">
      <c r="B308" s="19"/>
      <c r="C308" s="19"/>
      <c r="D308" s="310"/>
      <c r="E308" s="310"/>
      <c r="F308" s="286"/>
      <c r="G308" s="130" t="s">
        <v>576</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6"/>
    </row>
    <row r="309" spans="2:37" ht="37.5">
      <c r="B309" s="19"/>
      <c r="C309" s="19"/>
      <c r="D309" s="310"/>
      <c r="E309" s="310"/>
      <c r="F309" s="286"/>
      <c r="G309" s="130" t="s">
        <v>577</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6"/>
    </row>
    <row r="310" spans="2:37" ht="75">
      <c r="B310" s="19"/>
      <c r="C310" s="19"/>
      <c r="D310" s="310"/>
      <c r="E310" s="310"/>
      <c r="F310" s="286"/>
      <c r="G310" s="94" t="s">
        <v>578</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6"/>
    </row>
    <row r="311" spans="2:37" ht="75">
      <c r="B311" s="19"/>
      <c r="C311" s="19"/>
      <c r="D311" s="310"/>
      <c r="E311" s="310"/>
      <c r="F311" s="286"/>
      <c r="G311" s="94" t="s">
        <v>579</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6"/>
    </row>
    <row r="312" spans="2:37" ht="75">
      <c r="B312" s="19"/>
      <c r="C312" s="19"/>
      <c r="D312" s="310"/>
      <c r="E312" s="310"/>
      <c r="F312" s="286"/>
      <c r="G312" s="94" t="s">
        <v>558</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6"/>
    </row>
    <row r="313" spans="2:37" ht="18.75">
      <c r="B313" s="24"/>
      <c r="C313" s="24"/>
      <c r="D313" s="284" t="s">
        <v>207</v>
      </c>
      <c r="E313" s="284" t="s">
        <v>185</v>
      </c>
      <c r="F313" s="282" t="s">
        <v>184</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198000</v>
      </c>
      <c r="AC313" s="49">
        <f t="shared" si="33"/>
        <v>721176</v>
      </c>
      <c r="AD313" s="49">
        <f t="shared" si="33"/>
        <v>274184</v>
      </c>
      <c r="AE313" s="49">
        <f t="shared" si="33"/>
        <v>0</v>
      </c>
      <c r="AF313" s="49">
        <f t="shared" si="33"/>
        <v>0</v>
      </c>
      <c r="AG313" s="49">
        <f t="shared" si="33"/>
        <v>0</v>
      </c>
      <c r="AH313" s="49">
        <f t="shared" si="33"/>
        <v>180000</v>
      </c>
      <c r="AI313" s="49">
        <f t="shared" si="33"/>
        <v>240014.84</v>
      </c>
      <c r="AK313" s="266"/>
    </row>
    <row r="314" spans="2:37" ht="37.5">
      <c r="B314" s="24"/>
      <c r="C314" s="24"/>
      <c r="D314" s="285"/>
      <c r="E314" s="285"/>
      <c r="F314" s="286"/>
      <c r="G314" s="108" t="s">
        <v>559</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6"/>
    </row>
    <row r="315" spans="2:37" ht="37.5">
      <c r="B315" s="24"/>
      <c r="C315" s="24"/>
      <c r="D315" s="285"/>
      <c r="E315" s="285"/>
      <c r="F315" s="286"/>
      <c r="G315" s="108" t="s">
        <v>560</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6"/>
    </row>
    <row r="316" spans="2:37" ht="56.25">
      <c r="B316" s="24"/>
      <c r="C316" s="24"/>
      <c r="D316" s="285"/>
      <c r="E316" s="285"/>
      <c r="F316" s="286"/>
      <c r="G316" s="108" t="s">
        <v>561</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6"/>
    </row>
    <row r="317" spans="2:37" ht="37.5">
      <c r="B317" s="24"/>
      <c r="C317" s="24"/>
      <c r="D317" s="285"/>
      <c r="E317" s="285"/>
      <c r="F317" s="286"/>
      <c r="G317" s="108" t="s">
        <v>213</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6"/>
    </row>
    <row r="318" spans="2:37" ht="37.5">
      <c r="B318" s="24"/>
      <c r="C318" s="24"/>
      <c r="D318" s="285"/>
      <c r="E318" s="285"/>
      <c r="F318" s="286"/>
      <c r="G318" s="108" t="s">
        <v>214</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6"/>
    </row>
    <row r="319" spans="2:37" ht="37.5">
      <c r="B319" s="24"/>
      <c r="C319" s="24"/>
      <c r="D319" s="285"/>
      <c r="E319" s="285"/>
      <c r="F319" s="286"/>
      <c r="G319" s="108" t="s">
        <v>215</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6"/>
    </row>
    <row r="320" spans="2:37" ht="75">
      <c r="B320" s="24"/>
      <c r="C320" s="24"/>
      <c r="D320" s="285"/>
      <c r="E320" s="285"/>
      <c r="F320" s="286"/>
      <c r="G320" s="108" t="s">
        <v>216</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6"/>
    </row>
    <row r="321" spans="2:37" ht="37.5">
      <c r="B321" s="24"/>
      <c r="C321" s="24"/>
      <c r="D321" s="285"/>
      <c r="E321" s="285"/>
      <c r="F321" s="286"/>
      <c r="G321" s="108" t="s">
        <v>217</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6"/>
    </row>
    <row r="322" spans="2:37" ht="56.25">
      <c r="B322" s="24"/>
      <c r="C322" s="24"/>
      <c r="D322" s="285"/>
      <c r="E322" s="285"/>
      <c r="F322" s="286"/>
      <c r="G322" s="108" t="s">
        <v>218</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6"/>
    </row>
    <row r="323" spans="2:37" ht="37.5">
      <c r="B323" s="24"/>
      <c r="C323" s="24"/>
      <c r="D323" s="285"/>
      <c r="E323" s="285"/>
      <c r="F323" s="286"/>
      <c r="G323" s="108" t="s">
        <v>219</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6"/>
    </row>
    <row r="324" spans="2:37" ht="37.5">
      <c r="B324" s="24"/>
      <c r="C324" s="24"/>
      <c r="D324" s="285"/>
      <c r="E324" s="285"/>
      <c r="F324" s="286"/>
      <c r="G324" s="108" t="s">
        <v>220</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6"/>
    </row>
    <row r="325" spans="2:37" ht="37.5">
      <c r="B325" s="24"/>
      <c r="C325" s="24"/>
      <c r="D325" s="285"/>
      <c r="E325" s="285"/>
      <c r="F325" s="286"/>
      <c r="G325" s="108" t="s">
        <v>221</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6"/>
    </row>
    <row r="326" spans="2:37" ht="56.25">
      <c r="B326" s="24"/>
      <c r="C326" s="24"/>
      <c r="D326" s="285"/>
      <c r="E326" s="285"/>
      <c r="F326" s="286"/>
      <c r="G326" s="108" t="s">
        <v>254</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6"/>
    </row>
    <row r="327" spans="2:37" ht="37.5">
      <c r="B327" s="24"/>
      <c r="C327" s="24"/>
      <c r="D327" s="285"/>
      <c r="E327" s="285"/>
      <c r="F327" s="286"/>
      <c r="G327" s="108" t="s">
        <v>255</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6"/>
    </row>
    <row r="328" spans="2:37" ht="75">
      <c r="B328" s="24"/>
      <c r="C328" s="24"/>
      <c r="D328" s="285"/>
      <c r="E328" s="285"/>
      <c r="F328" s="286"/>
      <c r="G328" s="108" t="s">
        <v>256</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c r="AK328" s="266"/>
    </row>
    <row r="329" spans="2:37" ht="75">
      <c r="B329" s="24"/>
      <c r="C329" s="24"/>
      <c r="D329" s="285"/>
      <c r="E329" s="285"/>
      <c r="F329" s="286"/>
      <c r="G329" s="108" t="s">
        <v>91</v>
      </c>
      <c r="H329" s="111"/>
      <c r="I329" s="123"/>
      <c r="J329" s="113"/>
      <c r="K329" s="114"/>
      <c r="L329" s="114"/>
      <c r="M329" s="114"/>
      <c r="N329" s="91">
        <v>3132</v>
      </c>
      <c r="O329" s="132"/>
      <c r="P329" s="132"/>
      <c r="Q329" s="53">
        <v>150000</v>
      </c>
      <c r="R329" s="53"/>
      <c r="S329" s="53">
        <v>40000</v>
      </c>
      <c r="T329" s="53" t="s">
        <v>55</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6"/>
    </row>
    <row r="330" spans="2:37" ht="75">
      <c r="B330" s="19"/>
      <c r="C330" s="19"/>
      <c r="D330" s="285"/>
      <c r="E330" s="285"/>
      <c r="F330" s="286"/>
      <c r="G330" s="108" t="s">
        <v>257</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f>
        <v>99880.44</v>
      </c>
      <c r="AK330" s="266"/>
    </row>
    <row r="331" spans="2:37" ht="37.5">
      <c r="B331" s="24"/>
      <c r="C331" s="24"/>
      <c r="D331" s="285"/>
      <c r="E331" s="285"/>
      <c r="F331" s="286"/>
      <c r="G331" s="130" t="s">
        <v>258</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c r="AC331" s="42"/>
      <c r="AD331" s="42"/>
      <c r="AE331" s="42"/>
      <c r="AF331" s="42"/>
      <c r="AG331" s="42"/>
      <c r="AH331" s="42">
        <v>80000</v>
      </c>
      <c r="AI331" s="42"/>
      <c r="AK331" s="266"/>
    </row>
    <row r="332" spans="2:37" ht="37.5">
      <c r="B332" s="24"/>
      <c r="C332" s="24"/>
      <c r="D332" s="285"/>
      <c r="E332" s="285"/>
      <c r="F332" s="286"/>
      <c r="G332" s="130" t="s">
        <v>259</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c r="AK332" s="266"/>
    </row>
    <row r="333" spans="2:37" ht="56.25">
      <c r="B333" s="24"/>
      <c r="C333" s="24"/>
      <c r="D333" s="285"/>
      <c r="E333" s="285"/>
      <c r="F333" s="286"/>
      <c r="G333" s="130" t="s">
        <v>260</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6"/>
    </row>
    <row r="334" spans="2:37" ht="37.5">
      <c r="B334" s="24"/>
      <c r="C334" s="24"/>
      <c r="D334" s="285"/>
      <c r="E334" s="285"/>
      <c r="F334" s="286"/>
      <c r="G334" s="130" t="s">
        <v>261</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6"/>
    </row>
    <row r="335" spans="2:37" ht="18" hidden="1">
      <c r="B335" s="24"/>
      <c r="C335" s="24"/>
      <c r="D335" s="284" t="s">
        <v>605</v>
      </c>
      <c r="E335" s="284" t="s">
        <v>186</v>
      </c>
      <c r="F335" s="282" t="s">
        <v>162</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6"/>
    </row>
    <row r="336" spans="2:37" ht="18" hidden="1">
      <c r="B336" s="24"/>
      <c r="C336" s="24"/>
      <c r="D336" s="314"/>
      <c r="E336" s="314"/>
      <c r="F336" s="283"/>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6"/>
    </row>
    <row r="337" spans="2:37" ht="18.75">
      <c r="B337" s="24"/>
      <c r="C337" s="24"/>
      <c r="D337" s="284" t="s">
        <v>187</v>
      </c>
      <c r="E337" s="284" t="s">
        <v>190</v>
      </c>
      <c r="F337" s="282" t="s">
        <v>191</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0</v>
      </c>
      <c r="AK337" s="266"/>
    </row>
    <row r="338" spans="2:37" ht="56.25">
      <c r="B338" s="24"/>
      <c r="C338" s="24"/>
      <c r="D338" s="285"/>
      <c r="E338" s="285"/>
      <c r="F338" s="286"/>
      <c r="G338" s="108" t="s">
        <v>262</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6"/>
    </row>
    <row r="339" spans="2:37" ht="56.25">
      <c r="B339" s="24"/>
      <c r="C339" s="24"/>
      <c r="D339" s="285"/>
      <c r="E339" s="285"/>
      <c r="F339" s="286"/>
      <c r="G339" s="108" t="s">
        <v>210</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6"/>
    </row>
    <row r="340" spans="2:37" ht="56.25">
      <c r="B340" s="24"/>
      <c r="C340" s="24"/>
      <c r="D340" s="285"/>
      <c r="E340" s="285"/>
      <c r="F340" s="286"/>
      <c r="G340" s="130" t="s">
        <v>211</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c r="AK340" s="266"/>
    </row>
    <row r="341" spans="2:37" ht="56.25">
      <c r="B341" s="24"/>
      <c r="C341" s="24"/>
      <c r="D341" s="285"/>
      <c r="E341" s="285"/>
      <c r="F341" s="286"/>
      <c r="G341" s="130" t="s">
        <v>212</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6"/>
    </row>
    <row r="342" spans="2:37" ht="93.75">
      <c r="B342" s="24"/>
      <c r="C342" s="24"/>
      <c r="D342" s="285"/>
      <c r="E342" s="285"/>
      <c r="F342" s="286"/>
      <c r="G342" s="130" t="s">
        <v>661</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c r="AK342" s="266"/>
    </row>
    <row r="343" spans="2:37" ht="75">
      <c r="B343" s="24"/>
      <c r="C343" s="24"/>
      <c r="D343" s="285"/>
      <c r="E343" s="285"/>
      <c r="F343" s="286"/>
      <c r="G343" s="130" t="s">
        <v>662</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6"/>
    </row>
    <row r="344" spans="2:37" ht="56.25">
      <c r="B344" s="24"/>
      <c r="C344" s="24"/>
      <c r="D344" s="285"/>
      <c r="E344" s="285"/>
      <c r="F344" s="286"/>
      <c r="G344" s="130" t="s">
        <v>663</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6"/>
    </row>
    <row r="345" spans="2:37" ht="56.25">
      <c r="B345" s="24"/>
      <c r="C345" s="24"/>
      <c r="D345" s="285"/>
      <c r="E345" s="285"/>
      <c r="F345" s="286"/>
      <c r="G345" s="130" t="s">
        <v>664</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6"/>
    </row>
    <row r="346" spans="2:37" ht="56.25">
      <c r="B346" s="24"/>
      <c r="C346" s="24"/>
      <c r="D346" s="285"/>
      <c r="E346" s="285"/>
      <c r="F346" s="286"/>
      <c r="G346" s="130" t="s">
        <v>665</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c r="AK346" s="266"/>
    </row>
    <row r="347" spans="2:37" ht="37.5">
      <c r="B347" s="24"/>
      <c r="C347" s="24"/>
      <c r="D347" s="285"/>
      <c r="E347" s="285"/>
      <c r="F347" s="286"/>
      <c r="G347" s="130" t="s">
        <v>562</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c r="AK347" s="266"/>
    </row>
    <row r="348" spans="2:37" ht="75">
      <c r="B348" s="24"/>
      <c r="C348" s="24"/>
      <c r="D348" s="285"/>
      <c r="E348" s="285"/>
      <c r="F348" s="286"/>
      <c r="G348" s="130" t="s">
        <v>666</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c r="AK348" s="266"/>
    </row>
    <row r="349" spans="2:37" ht="56.25">
      <c r="B349" s="24"/>
      <c r="C349" s="24"/>
      <c r="D349" s="285"/>
      <c r="E349" s="285"/>
      <c r="F349" s="286"/>
      <c r="G349" s="130" t="s">
        <v>667</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6"/>
    </row>
    <row r="350" spans="2:37" ht="18" hidden="1">
      <c r="B350" s="24"/>
      <c r="C350" s="24"/>
      <c r="D350" s="284" t="s">
        <v>189</v>
      </c>
      <c r="E350" s="284" t="s">
        <v>190</v>
      </c>
      <c r="F350" s="282" t="s">
        <v>193</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6"/>
    </row>
    <row r="351" spans="2:37" ht="18" hidden="1">
      <c r="B351" s="24"/>
      <c r="C351" s="24"/>
      <c r="D351" s="285"/>
      <c r="E351" s="285"/>
      <c r="F351" s="286"/>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6"/>
    </row>
    <row r="352" spans="2:37" ht="18.75">
      <c r="B352" s="24"/>
      <c r="C352" s="24"/>
      <c r="D352" s="284" t="s">
        <v>643</v>
      </c>
      <c r="E352" s="284" t="s">
        <v>644</v>
      </c>
      <c r="F352" s="282" t="s">
        <v>194</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0</v>
      </c>
      <c r="AK352" s="266"/>
    </row>
    <row r="353" spans="2:37" ht="93.75">
      <c r="B353" s="24"/>
      <c r="C353" s="24"/>
      <c r="D353" s="285"/>
      <c r="E353" s="285"/>
      <c r="F353" s="286"/>
      <c r="G353" s="108" t="s">
        <v>668</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6"/>
    </row>
    <row r="354" spans="2:37" ht="112.5">
      <c r="B354" s="24"/>
      <c r="C354" s="24"/>
      <c r="D354" s="285"/>
      <c r="E354" s="285"/>
      <c r="F354" s="286"/>
      <c r="G354" s="108" t="s">
        <v>48</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c r="AK354" s="266"/>
    </row>
    <row r="355" spans="2:37" ht="56.25">
      <c r="B355" s="24"/>
      <c r="C355" s="24"/>
      <c r="D355" s="285"/>
      <c r="E355" s="285"/>
      <c r="F355" s="286"/>
      <c r="G355" s="108" t="s">
        <v>608</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6"/>
    </row>
    <row r="356" spans="2:37" ht="112.5">
      <c r="B356" s="24"/>
      <c r="C356" s="24"/>
      <c r="D356" s="285"/>
      <c r="E356" s="285"/>
      <c r="F356" s="286"/>
      <c r="G356" s="108" t="s">
        <v>49</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c r="AK356" s="266"/>
    </row>
    <row r="357" spans="2:37" ht="93.75">
      <c r="B357" s="24"/>
      <c r="C357" s="24"/>
      <c r="D357" s="285"/>
      <c r="E357" s="285"/>
      <c r="F357" s="286"/>
      <c r="G357" s="108" t="s">
        <v>50</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c r="AK357" s="266"/>
    </row>
    <row r="358" spans="2:37" ht="56.25">
      <c r="B358" s="24"/>
      <c r="C358" s="24"/>
      <c r="D358" s="285"/>
      <c r="E358" s="285"/>
      <c r="F358" s="286"/>
      <c r="G358" s="108" t="s">
        <v>52</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6"/>
    </row>
    <row r="359" spans="2:37" ht="72" hidden="1">
      <c r="B359" s="24"/>
      <c r="C359" s="24"/>
      <c r="D359" s="285"/>
      <c r="E359" s="285"/>
      <c r="F359" s="286"/>
      <c r="G359" s="108" t="s">
        <v>669</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6"/>
    </row>
    <row r="360" spans="2:37" ht="93.75">
      <c r="B360" s="24"/>
      <c r="C360" s="24"/>
      <c r="D360" s="285"/>
      <c r="E360" s="285"/>
      <c r="F360" s="286"/>
      <c r="G360" s="108" t="s">
        <v>670</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6"/>
    </row>
    <row r="361" spans="2:37" ht="18.75">
      <c r="B361" s="24"/>
      <c r="C361" s="24"/>
      <c r="D361" s="284" t="s">
        <v>244</v>
      </c>
      <c r="E361" s="284" t="s">
        <v>651</v>
      </c>
      <c r="F361" s="282" t="s">
        <v>195</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780336.15</v>
      </c>
      <c r="AK361" s="266"/>
    </row>
    <row r="362" spans="2:37" ht="56.25">
      <c r="B362" s="19"/>
      <c r="C362" s="19"/>
      <c r="D362" s="285"/>
      <c r="E362" s="285"/>
      <c r="F362" s="286"/>
      <c r="G362" s="108" t="s">
        <v>620</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6"/>
    </row>
    <row r="363" spans="2:37" ht="75">
      <c r="B363" s="19"/>
      <c r="C363" s="19"/>
      <c r="D363" s="285"/>
      <c r="E363" s="285"/>
      <c r="F363" s="286"/>
      <c r="G363" s="108" t="s">
        <v>268</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6"/>
    </row>
    <row r="364" spans="2:37" ht="56.25">
      <c r="B364" s="19"/>
      <c r="C364" s="19"/>
      <c r="D364" s="285"/>
      <c r="E364" s="285"/>
      <c r="F364" s="286"/>
      <c r="G364" s="108" t="s">
        <v>621</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c r="AK364" s="266"/>
    </row>
    <row r="365" spans="2:37" ht="112.5">
      <c r="B365" s="19"/>
      <c r="C365" s="19"/>
      <c r="D365" s="285"/>
      <c r="E365" s="285"/>
      <c r="F365" s="286"/>
      <c r="G365" s="108" t="s">
        <v>51</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35"/>
      <c r="AK365" s="266"/>
    </row>
    <row r="366" spans="2:37" ht="37.5">
      <c r="B366" s="19"/>
      <c r="C366" s="19"/>
      <c r="D366" s="285"/>
      <c r="E366" s="285"/>
      <c r="F366" s="286"/>
      <c r="G366" s="108" t="s">
        <v>622</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6"/>
    </row>
    <row r="367" spans="2:37" ht="56.25">
      <c r="B367" s="19"/>
      <c r="C367" s="19"/>
      <c r="D367" s="285"/>
      <c r="E367" s="285"/>
      <c r="F367" s="286"/>
      <c r="G367" s="108" t="s">
        <v>623</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f>
        <v>14400</v>
      </c>
      <c r="AK367" s="266"/>
    </row>
    <row r="368" spans="2:37" ht="56.25">
      <c r="B368" s="19"/>
      <c r="C368" s="19"/>
      <c r="D368" s="285"/>
      <c r="E368" s="285"/>
      <c r="F368" s="286"/>
      <c r="G368" s="108" t="s">
        <v>93</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6"/>
    </row>
    <row r="369" spans="2:37" ht="56.25">
      <c r="B369" s="19"/>
      <c r="C369" s="19"/>
      <c r="D369" s="285"/>
      <c r="E369" s="285"/>
      <c r="F369" s="286"/>
      <c r="G369" s="108" t="s">
        <v>624</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f>
        <v>14400</v>
      </c>
      <c r="AK369" s="266"/>
    </row>
    <row r="370" spans="2:37" ht="56.25">
      <c r="B370" s="19"/>
      <c r="C370" s="19"/>
      <c r="D370" s="285"/>
      <c r="E370" s="285"/>
      <c r="F370" s="286"/>
      <c r="G370" s="108" t="s">
        <v>625</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6"/>
    </row>
    <row r="371" spans="2:37" ht="56.25">
      <c r="B371" s="19"/>
      <c r="C371" s="19"/>
      <c r="D371" s="285"/>
      <c r="E371" s="285"/>
      <c r="F371" s="286"/>
      <c r="G371" s="108" t="s">
        <v>267</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c r="AK371" s="266"/>
    </row>
    <row r="372" spans="2:37" ht="56.25">
      <c r="B372" s="19"/>
      <c r="C372" s="19"/>
      <c r="D372" s="285"/>
      <c r="E372" s="285"/>
      <c r="F372" s="286"/>
      <c r="G372" s="108" t="s">
        <v>53</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6"/>
    </row>
    <row r="373" spans="2:37" ht="112.5">
      <c r="B373" s="19"/>
      <c r="C373" s="19"/>
      <c r="D373" s="285"/>
      <c r="E373" s="285"/>
      <c r="F373" s="286"/>
      <c r="G373" s="52" t="s">
        <v>95</v>
      </c>
      <c r="H373" s="50">
        <v>3560392</v>
      </c>
      <c r="I373" s="92">
        <f>100%-((H373-J373)/H373)</f>
        <v>1</v>
      </c>
      <c r="J373" s="50">
        <v>3560392</v>
      </c>
      <c r="K373" s="42">
        <v>520392</v>
      </c>
      <c r="L373" s="42"/>
      <c r="M373" s="42">
        <v>3040000</v>
      </c>
      <c r="N373" s="91">
        <v>3142</v>
      </c>
      <c r="O373" s="53">
        <f>520392+3040000</f>
        <v>3560392</v>
      </c>
      <c r="P373" s="50"/>
      <c r="Q373" s="50">
        <v>-62793</v>
      </c>
      <c r="R373" s="50"/>
      <c r="S373" s="50"/>
      <c r="T373" s="269" t="s">
        <v>96</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6"/>
    </row>
    <row r="374" spans="2:37" ht="69" customHeight="1">
      <c r="B374" s="19"/>
      <c r="C374" s="19"/>
      <c r="D374" s="285"/>
      <c r="E374" s="285"/>
      <c r="F374" s="286"/>
      <c r="G374" s="52" t="s">
        <v>97</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6"/>
    </row>
    <row r="375" spans="2:37" ht="66.75" customHeight="1">
      <c r="B375" s="19"/>
      <c r="C375" s="19"/>
      <c r="D375" s="285"/>
      <c r="E375" s="285"/>
      <c r="F375" s="286"/>
      <c r="G375" s="52" t="s">
        <v>98</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6"/>
    </row>
    <row r="376" spans="2:37" ht="18.75">
      <c r="B376" s="24"/>
      <c r="C376" s="24"/>
      <c r="D376" s="284" t="s">
        <v>245</v>
      </c>
      <c r="E376" s="284" t="s">
        <v>185</v>
      </c>
      <c r="F376" s="282" t="s">
        <v>532</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6"/>
    </row>
    <row r="377" spans="2:37" ht="75">
      <c r="B377" s="24"/>
      <c r="C377" s="24"/>
      <c r="D377" s="285"/>
      <c r="E377" s="285"/>
      <c r="F377" s="286"/>
      <c r="G377" s="108" t="s">
        <v>626</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6"/>
    </row>
    <row r="378" spans="2:37" ht="56.25">
      <c r="B378" s="24"/>
      <c r="C378" s="24"/>
      <c r="D378" s="285"/>
      <c r="E378" s="285"/>
      <c r="F378" s="286"/>
      <c r="G378" s="130" t="s">
        <v>627</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6"/>
    </row>
    <row r="379" spans="2:37" ht="37.5">
      <c r="B379" s="24"/>
      <c r="C379" s="24"/>
      <c r="D379" s="285"/>
      <c r="E379" s="285"/>
      <c r="F379" s="286"/>
      <c r="G379" s="108" t="s">
        <v>628</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6"/>
    </row>
    <row r="380" spans="2:37" ht="18.75">
      <c r="B380" s="19"/>
      <c r="C380" s="27"/>
      <c r="D380" s="280" t="s">
        <v>606</v>
      </c>
      <c r="E380" s="280" t="s">
        <v>644</v>
      </c>
      <c r="F380" s="282" t="s">
        <v>540</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318936.07999999996</v>
      </c>
      <c r="AK380" s="266"/>
    </row>
    <row r="381" spans="2:37" ht="56.25">
      <c r="B381" s="19"/>
      <c r="C381" s="27"/>
      <c r="D381" s="310"/>
      <c r="E381" s="310"/>
      <c r="F381" s="286"/>
      <c r="G381" s="137" t="s">
        <v>629</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6"/>
    </row>
    <row r="382" spans="2:37" ht="56.25">
      <c r="B382" s="19"/>
      <c r="C382" s="27"/>
      <c r="D382" s="310"/>
      <c r="E382" s="310"/>
      <c r="F382" s="286"/>
      <c r="G382" s="108" t="s">
        <v>630</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6"/>
    </row>
    <row r="383" spans="2:37" ht="56.25">
      <c r="B383" s="19"/>
      <c r="C383" s="27"/>
      <c r="D383" s="310"/>
      <c r="E383" s="310"/>
      <c r="F383" s="286"/>
      <c r="G383" s="137" t="s">
        <v>541</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6"/>
    </row>
    <row r="384" spans="2:37" ht="37.5">
      <c r="B384" s="19"/>
      <c r="C384" s="27"/>
      <c r="D384" s="310"/>
      <c r="E384" s="310"/>
      <c r="F384" s="286"/>
      <c r="G384" s="108" t="s">
        <v>631</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6"/>
    </row>
    <row r="385" spans="2:37" ht="56.25">
      <c r="B385" s="19"/>
      <c r="C385" s="27"/>
      <c r="D385" s="310"/>
      <c r="E385" s="310"/>
      <c r="F385" s="286"/>
      <c r="G385" s="94" t="s">
        <v>632</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6"/>
    </row>
    <row r="386" spans="2:37" ht="37.5">
      <c r="B386" s="19"/>
      <c r="C386" s="27"/>
      <c r="D386" s="310"/>
      <c r="E386" s="310"/>
      <c r="F386" s="286"/>
      <c r="G386" s="139" t="s">
        <v>542</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c r="AK386" s="266"/>
    </row>
    <row r="387" spans="2:37" ht="37.5">
      <c r="B387" s="19"/>
      <c r="C387" s="27"/>
      <c r="D387" s="310"/>
      <c r="E387" s="310"/>
      <c r="F387" s="286"/>
      <c r="G387" s="141" t="s">
        <v>633</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6"/>
    </row>
    <row r="388" spans="2:37" ht="56.25">
      <c r="B388" s="19"/>
      <c r="C388" s="27"/>
      <c r="D388" s="310"/>
      <c r="E388" s="310"/>
      <c r="F388" s="286"/>
      <c r="G388" s="141" t="s">
        <v>690</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c r="AK388" s="266"/>
    </row>
    <row r="389" spans="2:37" ht="37.5">
      <c r="B389" s="19"/>
      <c r="C389" s="27"/>
      <c r="D389" s="310"/>
      <c r="E389" s="310"/>
      <c r="F389" s="286"/>
      <c r="G389" s="139" t="s">
        <v>691</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0</v>
      </c>
      <c r="AK389" s="266"/>
    </row>
    <row r="390" spans="2:37" ht="37.5">
      <c r="B390" s="19"/>
      <c r="C390" s="27"/>
      <c r="D390" s="310"/>
      <c r="E390" s="310"/>
      <c r="F390" s="286"/>
      <c r="G390" s="141" t="s">
        <v>692</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c r="AK390" s="266"/>
    </row>
    <row r="391" spans="2:37" ht="56.25">
      <c r="B391" s="19"/>
      <c r="C391" s="27"/>
      <c r="D391" s="310"/>
      <c r="E391" s="310"/>
      <c r="F391" s="286"/>
      <c r="G391" s="139" t="s">
        <v>543</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86381.28</v>
      </c>
      <c r="AK391" s="266"/>
    </row>
    <row r="392" spans="2:37" ht="93.75">
      <c r="B392" s="19"/>
      <c r="C392" s="27"/>
      <c r="D392" s="310"/>
      <c r="E392" s="310"/>
      <c r="F392" s="286"/>
      <c r="G392" s="141" t="s">
        <v>693</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6"/>
    </row>
    <row r="393" spans="2:37" ht="75">
      <c r="B393" s="19"/>
      <c r="C393" s="27"/>
      <c r="D393" s="310"/>
      <c r="E393" s="310"/>
      <c r="F393" s="286"/>
      <c r="G393" s="141" t="s">
        <v>694</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c r="AK393" s="266"/>
    </row>
    <row r="394" spans="2:37" ht="56.25">
      <c r="B394" s="19"/>
      <c r="C394" s="27"/>
      <c r="D394" s="310"/>
      <c r="E394" s="310"/>
      <c r="F394" s="286"/>
      <c r="G394" s="141" t="s">
        <v>612</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6"/>
    </row>
    <row r="395" spans="2:37" ht="93.75">
      <c r="B395" s="19"/>
      <c r="C395" s="27"/>
      <c r="D395" s="310"/>
      <c r="E395" s="310"/>
      <c r="F395" s="286"/>
      <c r="G395" s="141" t="s">
        <v>695</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6"/>
    </row>
    <row r="396" spans="2:37" ht="112.5">
      <c r="B396" s="19"/>
      <c r="C396" s="27"/>
      <c r="D396" s="310"/>
      <c r="E396" s="310"/>
      <c r="F396" s="286"/>
      <c r="G396" s="141" t="s">
        <v>696</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6"/>
    </row>
    <row r="397" spans="2:37" ht="56.25">
      <c r="B397" s="19"/>
      <c r="C397" s="27"/>
      <c r="D397" s="310"/>
      <c r="E397" s="310"/>
      <c r="F397" s="286"/>
      <c r="G397" s="141" t="s">
        <v>697</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6"/>
    </row>
    <row r="398" spans="2:35" ht="56.25">
      <c r="B398" s="24"/>
      <c r="C398" s="9"/>
      <c r="D398" s="75"/>
      <c r="E398" s="102"/>
      <c r="F398" s="77" t="s">
        <v>597</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1391603.6500000001</v>
      </c>
    </row>
    <row r="399" spans="2:35" ht="18.75">
      <c r="B399" s="24"/>
      <c r="C399" s="24"/>
      <c r="D399" s="284" t="s">
        <v>246</v>
      </c>
      <c r="E399" s="284" t="s">
        <v>164</v>
      </c>
      <c r="F399" s="282" t="s">
        <v>653</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1075439.08</v>
      </c>
    </row>
    <row r="400" spans="2:35" ht="56.25">
      <c r="B400" s="19"/>
      <c r="C400" s="19"/>
      <c r="D400" s="285"/>
      <c r="E400" s="285"/>
      <c r="F400" s="286"/>
      <c r="G400" s="146" t="s">
        <v>698</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85"/>
      <c r="E401" s="285"/>
      <c r="F401" s="286"/>
      <c r="G401" s="146" t="s">
        <v>633</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row>
    <row r="402" spans="2:35" ht="75">
      <c r="B402" s="19"/>
      <c r="C402" s="19"/>
      <c r="D402" s="285"/>
      <c r="E402" s="285"/>
      <c r="F402" s="286"/>
      <c r="G402" s="146" t="s">
        <v>276</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85"/>
      <c r="E403" s="285"/>
      <c r="F403" s="286"/>
      <c r="G403" s="146" t="s">
        <v>277</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85"/>
      <c r="E404" s="285"/>
      <c r="F404" s="286"/>
      <c r="G404" s="146" t="s">
        <v>278</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85"/>
      <c r="E405" s="285"/>
      <c r="F405" s="286"/>
      <c r="G405" s="146" t="s">
        <v>279</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85"/>
      <c r="E406" s="285"/>
      <c r="F406" s="286"/>
      <c r="G406" s="146" t="s">
        <v>660</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row>
    <row r="407" spans="2:35" ht="112.5">
      <c r="B407" s="19"/>
      <c r="C407" s="19"/>
      <c r="D407" s="285"/>
      <c r="E407" s="285"/>
      <c r="F407" s="286"/>
      <c r="G407" s="146" t="s">
        <v>434</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row>
    <row r="408" spans="2:35" ht="93.75">
      <c r="B408" s="19"/>
      <c r="C408" s="19"/>
      <c r="D408" s="285"/>
      <c r="E408" s="285"/>
      <c r="F408" s="286"/>
      <c r="G408" s="94" t="s">
        <v>311</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f>
        <v>491677.5</v>
      </c>
    </row>
    <row r="409" spans="2:35" ht="75">
      <c r="B409" s="19"/>
      <c r="C409" s="19"/>
      <c r="D409" s="285"/>
      <c r="E409" s="285"/>
      <c r="F409" s="286"/>
      <c r="G409" s="146" t="s">
        <v>312</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f>
        <v>38640</v>
      </c>
    </row>
    <row r="410" spans="2:35" ht="131.25">
      <c r="B410" s="19"/>
      <c r="C410" s="19"/>
      <c r="D410" s="285"/>
      <c r="E410" s="285"/>
      <c r="F410" s="286"/>
      <c r="G410" s="146" t="s">
        <v>313</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row>
    <row r="411" spans="2:35" ht="112.5">
      <c r="B411" s="19"/>
      <c r="C411" s="19"/>
      <c r="D411" s="285"/>
      <c r="E411" s="285"/>
      <c r="F411" s="286"/>
      <c r="G411" s="146" t="s">
        <v>314</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85"/>
      <c r="E412" s="285"/>
      <c r="F412" s="286"/>
      <c r="G412" s="146" t="s">
        <v>315</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85"/>
      <c r="E413" s="285"/>
      <c r="F413" s="286"/>
      <c r="G413" s="146" t="s">
        <v>316</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85"/>
      <c r="E414" s="285"/>
      <c r="F414" s="286"/>
      <c r="G414" s="52" t="s">
        <v>77</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v>12509.52</v>
      </c>
    </row>
    <row r="415" spans="2:35" ht="34.5" customHeight="1">
      <c r="B415" s="24"/>
      <c r="C415" s="24"/>
      <c r="D415" s="315" t="s">
        <v>247</v>
      </c>
      <c r="E415" s="315" t="s">
        <v>166</v>
      </c>
      <c r="F415" s="318" t="s">
        <v>165</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316"/>
      <c r="E416" s="316"/>
      <c r="F416" s="319"/>
      <c r="G416" s="146" t="s">
        <v>633</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17"/>
      <c r="E417" s="317"/>
      <c r="F417" s="320"/>
      <c r="G417" s="146" t="s">
        <v>317</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84" t="s">
        <v>248</v>
      </c>
      <c r="E418" s="284" t="s">
        <v>167</v>
      </c>
      <c r="F418" s="282" t="s">
        <v>586</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230790.5</v>
      </c>
    </row>
    <row r="419" spans="2:35" ht="56.25">
      <c r="B419" s="24"/>
      <c r="C419" s="24"/>
      <c r="D419" s="285"/>
      <c r="E419" s="285"/>
      <c r="F419" s="286"/>
      <c r="G419" s="146" t="s">
        <v>698</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85"/>
      <c r="E420" s="285"/>
      <c r="F420" s="286"/>
      <c r="G420" s="146" t="s">
        <v>356</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row>
    <row r="421" spans="2:35" ht="37.5">
      <c r="B421" s="24"/>
      <c r="C421" s="24"/>
      <c r="D421" s="285"/>
      <c r="E421" s="285"/>
      <c r="F421" s="286"/>
      <c r="G421" s="146" t="s">
        <v>633</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85"/>
      <c r="E422" s="285"/>
      <c r="F422" s="286"/>
      <c r="G422" s="146" t="s">
        <v>276</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85"/>
      <c r="E423" s="285"/>
      <c r="F423" s="286"/>
      <c r="G423" s="94" t="s">
        <v>318</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85"/>
      <c r="E424" s="285"/>
      <c r="F424" s="286"/>
      <c r="G424" s="94" t="s">
        <v>298</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v>6243.3</v>
      </c>
    </row>
    <row r="425" spans="2:35" ht="75">
      <c r="B425" s="24"/>
      <c r="C425" s="24"/>
      <c r="D425" s="285"/>
      <c r="E425" s="285"/>
      <c r="F425" s="286"/>
      <c r="G425" s="94" t="s">
        <v>299</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f>
        <v>14707</v>
      </c>
    </row>
    <row r="426" spans="2:35" ht="75">
      <c r="B426" s="24"/>
      <c r="C426" s="24"/>
      <c r="D426" s="285"/>
      <c r="E426" s="285"/>
      <c r="F426" s="286"/>
      <c r="G426" s="94" t="s">
        <v>300</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85"/>
      <c r="E427" s="285"/>
      <c r="F427" s="286"/>
      <c r="G427" s="94" t="s">
        <v>301</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84" t="s">
        <v>249</v>
      </c>
      <c r="E428" s="284" t="s">
        <v>169</v>
      </c>
      <c r="F428" s="282" t="s">
        <v>168</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19275.57</v>
      </c>
    </row>
    <row r="429" spans="2:35" ht="56.25">
      <c r="B429" s="24"/>
      <c r="C429" s="24"/>
      <c r="D429" s="285"/>
      <c r="E429" s="285"/>
      <c r="F429" s="286"/>
      <c r="G429" s="153" t="s">
        <v>302</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14"/>
      <c r="E430" s="314"/>
      <c r="F430" s="283"/>
      <c r="G430" s="153" t="s">
        <v>355</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f>
        <v>19275.57</v>
      </c>
    </row>
    <row r="431" spans="2:35" ht="18.75">
      <c r="B431" s="24"/>
      <c r="C431" s="24"/>
      <c r="D431" s="284" t="s">
        <v>303</v>
      </c>
      <c r="E431" s="280" t="s">
        <v>304</v>
      </c>
      <c r="F431" s="312" t="s">
        <v>305</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85"/>
      <c r="E432" s="310"/>
      <c r="F432" s="312"/>
      <c r="G432" s="146" t="s">
        <v>306</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85"/>
      <c r="E433" s="310"/>
      <c r="F433" s="312"/>
      <c r="G433" s="146" t="s">
        <v>307</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84" t="s">
        <v>170</v>
      </c>
      <c r="E434" s="284" t="s">
        <v>164</v>
      </c>
      <c r="F434" s="282" t="s">
        <v>534</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14242.28</v>
      </c>
    </row>
    <row r="435" spans="2:35" ht="56.25">
      <c r="B435" s="24"/>
      <c r="C435" s="248"/>
      <c r="D435" s="314"/>
      <c r="E435" s="314"/>
      <c r="F435" s="283"/>
      <c r="G435" s="153" t="s">
        <v>354</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f>
        <v>14242.28</v>
      </c>
    </row>
    <row r="436" spans="2:35" ht="37.5">
      <c r="B436" s="24"/>
      <c r="C436" s="9"/>
      <c r="D436" s="102"/>
      <c r="E436" s="103"/>
      <c r="F436" s="77" t="s">
        <v>110</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549397.9</v>
      </c>
    </row>
    <row r="437" spans="2:35" ht="18.75">
      <c r="B437" s="19"/>
      <c r="C437" s="9"/>
      <c r="D437" s="280" t="s">
        <v>236</v>
      </c>
      <c r="E437" s="321" t="s">
        <v>646</v>
      </c>
      <c r="F437" s="282" t="s">
        <v>237</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361492.9</v>
      </c>
    </row>
    <row r="438" spans="2:35" ht="56.25">
      <c r="B438" s="19"/>
      <c r="C438" s="9"/>
      <c r="D438" s="310"/>
      <c r="E438" s="325"/>
      <c r="F438" s="286"/>
      <c r="G438" s="146" t="s">
        <v>308</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v>112500</v>
      </c>
      <c r="AC438" s="42">
        <v>50000</v>
      </c>
      <c r="AD438" s="42"/>
      <c r="AE438" s="42"/>
      <c r="AF438" s="42"/>
      <c r="AG438" s="42"/>
      <c r="AH438" s="42"/>
      <c r="AI438" s="42"/>
    </row>
    <row r="439" spans="2:35" ht="93.75">
      <c r="B439" s="19"/>
      <c r="C439" s="9"/>
      <c r="D439" s="310"/>
      <c r="E439" s="325"/>
      <c r="F439" s="286"/>
      <c r="G439" s="146" t="s">
        <v>309</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v>92000</v>
      </c>
      <c r="AC439" s="42">
        <v>91000</v>
      </c>
      <c r="AD439" s="42"/>
      <c r="AE439" s="42"/>
      <c r="AF439" s="42"/>
      <c r="AG439" s="42"/>
      <c r="AH439" s="42"/>
      <c r="AI439" s="42"/>
    </row>
    <row r="440" spans="2:35" ht="75">
      <c r="B440" s="19"/>
      <c r="C440" s="9"/>
      <c r="D440" s="310"/>
      <c r="E440" s="325"/>
      <c r="F440" s="286"/>
      <c r="G440" s="146" t="s">
        <v>310</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10"/>
      <c r="E441" s="325"/>
      <c r="F441" s="286"/>
      <c r="G441" s="146" t="s">
        <v>734</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10"/>
      <c r="E442" s="325"/>
      <c r="F442" s="286"/>
      <c r="G442" s="146" t="s">
        <v>329</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10"/>
      <c r="E443" s="325"/>
      <c r="F443" s="286"/>
      <c r="G443" s="146" t="s">
        <v>330</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10"/>
      <c r="E444" s="325"/>
      <c r="F444" s="286"/>
      <c r="G444" s="146" t="s">
        <v>331</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30"/>
      <c r="E445" s="331"/>
      <c r="F445" s="319"/>
      <c r="G445" s="146" t="s">
        <v>633</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81"/>
      <c r="E446" s="322"/>
      <c r="F446" s="283"/>
      <c r="G446" s="146" t="s">
        <v>470</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v>300000</v>
      </c>
      <c r="AC446" s="42">
        <v>300000</v>
      </c>
      <c r="AD446" s="42"/>
      <c r="AE446" s="42"/>
      <c r="AF446" s="42"/>
      <c r="AG446" s="42"/>
      <c r="AH446" s="42"/>
      <c r="AI446" s="42">
        <f>286492.9</f>
        <v>286492.9</v>
      </c>
    </row>
    <row r="447" spans="2:35" ht="18" hidden="1">
      <c r="B447" s="19"/>
      <c r="C447" s="9"/>
      <c r="D447" s="280" t="s">
        <v>538</v>
      </c>
      <c r="E447" s="280" t="s">
        <v>654</v>
      </c>
      <c r="F447" s="282" t="s">
        <v>160</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81"/>
      <c r="E448" s="281"/>
      <c r="F448" s="283"/>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84" t="s">
        <v>652</v>
      </c>
      <c r="E449" s="284" t="s">
        <v>535</v>
      </c>
      <c r="F449" s="282" t="s">
        <v>536</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187905</v>
      </c>
    </row>
    <row r="450" spans="2:35" ht="112.5">
      <c r="B450" s="24"/>
      <c r="C450" s="24"/>
      <c r="D450" s="285"/>
      <c r="E450" s="285"/>
      <c r="F450" s="286"/>
      <c r="G450" s="146" t="s">
        <v>332</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85"/>
      <c r="E451" s="285"/>
      <c r="F451" s="286"/>
      <c r="G451" s="146" t="s">
        <v>333</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85"/>
      <c r="E452" s="285"/>
      <c r="F452" s="286"/>
      <c r="G452" s="146" t="s">
        <v>334</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85"/>
      <c r="E453" s="285"/>
      <c r="F453" s="286"/>
      <c r="G453" s="146" t="s">
        <v>699</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85"/>
      <c r="E454" s="285"/>
      <c r="F454" s="286"/>
      <c r="G454" s="146" t="s">
        <v>757</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85"/>
      <c r="E455" s="285"/>
      <c r="F455" s="286"/>
      <c r="G455" s="146" t="s">
        <v>759</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85"/>
      <c r="E456" s="285"/>
      <c r="F456" s="286"/>
      <c r="G456" s="146" t="s">
        <v>760</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85"/>
      <c r="E457" s="285"/>
      <c r="F457" s="286"/>
      <c r="G457" s="146" t="s">
        <v>761</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85"/>
      <c r="E458" s="285"/>
      <c r="F458" s="286"/>
      <c r="G458" s="146" t="s">
        <v>762</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85"/>
      <c r="E459" s="285"/>
      <c r="F459" s="286"/>
      <c r="G459" s="146" t="s">
        <v>633</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85"/>
      <c r="E460" s="285"/>
      <c r="F460" s="286"/>
      <c r="G460" s="146" t="s">
        <v>274</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85"/>
      <c r="E461" s="285"/>
      <c r="F461" s="286"/>
      <c r="G461" s="146" t="s">
        <v>275</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85"/>
      <c r="E462" s="285"/>
      <c r="F462" s="286"/>
      <c r="G462" s="146" t="s">
        <v>273</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f>
        <v>1345.2</v>
      </c>
    </row>
    <row r="463" spans="2:35" ht="112.5">
      <c r="B463" s="24"/>
      <c r="C463" s="24"/>
      <c r="D463" s="285"/>
      <c r="E463" s="285"/>
      <c r="F463" s="286"/>
      <c r="G463" s="146" t="s">
        <v>161</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111</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32911883.700000003</v>
      </c>
    </row>
    <row r="465" spans="2:35" ht="18.75">
      <c r="B465" s="17"/>
      <c r="D465" s="321" t="s">
        <v>236</v>
      </c>
      <c r="E465" s="321" t="s">
        <v>646</v>
      </c>
      <c r="F465" s="282" t="s">
        <v>237</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126519</v>
      </c>
    </row>
    <row r="466" spans="2:35" ht="37.5">
      <c r="B466" s="17"/>
      <c r="D466" s="322"/>
      <c r="E466" s="322"/>
      <c r="F466" s="283"/>
      <c r="G466" s="159" t="s">
        <v>763</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f>
        <v>126519</v>
      </c>
    </row>
    <row r="467" spans="2:35" ht="18.75">
      <c r="B467" s="5"/>
      <c r="C467" s="5"/>
      <c r="D467" s="284" t="s">
        <v>251</v>
      </c>
      <c r="E467" s="284" t="s">
        <v>172</v>
      </c>
      <c r="F467" s="282" t="s">
        <v>173</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-400627</v>
      </c>
      <c r="AC467" s="47">
        <f t="shared" si="62"/>
        <v>560000</v>
      </c>
      <c r="AD467" s="47">
        <f t="shared" si="62"/>
        <v>500000</v>
      </c>
      <c r="AE467" s="47">
        <f t="shared" si="62"/>
        <v>1711525</v>
      </c>
      <c r="AF467" s="47">
        <f t="shared" si="62"/>
        <v>1067983</v>
      </c>
      <c r="AG467" s="47">
        <f t="shared" si="62"/>
        <v>3266102</v>
      </c>
      <c r="AH467" s="47">
        <f t="shared" si="62"/>
        <v>840275</v>
      </c>
      <c r="AI467" s="47">
        <f t="shared" si="62"/>
        <v>687008.5599999999</v>
      </c>
    </row>
    <row r="468" spans="2:35" ht="54" hidden="1">
      <c r="B468" s="5"/>
      <c r="C468" s="5"/>
      <c r="D468" s="285"/>
      <c r="E468" s="285"/>
      <c r="F468" s="286"/>
      <c r="G468" s="141" t="s">
        <v>764</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85"/>
      <c r="E469" s="285"/>
      <c r="F469" s="286"/>
      <c r="G469" s="141" t="s">
        <v>765</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f>
        <v>-878000</v>
      </c>
      <c r="AC469" s="53">
        <f>400000-175000</f>
        <v>225000</v>
      </c>
      <c r="AD469" s="53">
        <v>500000</v>
      </c>
      <c r="AE469" s="53">
        <f>801525+200000+300000</f>
        <v>1301525</v>
      </c>
      <c r="AF469" s="53">
        <v>1067983</v>
      </c>
      <c r="AG469" s="53">
        <f>410763+575068+1951661+328610</f>
        <v>3266102</v>
      </c>
      <c r="AH469" s="53">
        <v>710275</v>
      </c>
      <c r="AI469" s="42">
        <f>40080+66627.6+549354+4843.2+3007.2</f>
        <v>663911.9999999999</v>
      </c>
    </row>
    <row r="470" spans="2:35" ht="56.25">
      <c r="B470" s="5"/>
      <c r="C470" s="5"/>
      <c r="D470" s="285"/>
      <c r="E470" s="285"/>
      <c r="F470" s="286"/>
      <c r="G470" s="141" t="s">
        <v>766</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85"/>
      <c r="E471" s="285"/>
      <c r="F471" s="286"/>
      <c r="G471" s="141" t="s">
        <v>335</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85"/>
      <c r="E472" s="285"/>
      <c r="F472" s="286"/>
      <c r="G472" s="94" t="s">
        <v>336</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85"/>
      <c r="E473" s="285"/>
      <c r="F473" s="286"/>
      <c r="G473" s="94" t="s">
        <v>337</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85"/>
      <c r="E474" s="285"/>
      <c r="F474" s="286"/>
      <c r="G474" s="94" t="s">
        <v>90</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85"/>
      <c r="E475" s="285"/>
      <c r="F475" s="286"/>
      <c r="G475" s="94" t="s">
        <v>338</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f>
        <v>3090</v>
      </c>
    </row>
    <row r="476" spans="2:35" ht="93.75">
      <c r="B476" s="17"/>
      <c r="C476" s="17"/>
      <c r="D476" s="285"/>
      <c r="E476" s="285"/>
      <c r="F476" s="286"/>
      <c r="G476" s="94" t="s">
        <v>407</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f>
        <v>12009.56</v>
      </c>
    </row>
    <row r="477" spans="2:35" ht="56.25">
      <c r="B477" s="17"/>
      <c r="C477" s="17"/>
      <c r="D477" s="285"/>
      <c r="E477" s="285"/>
      <c r="F477" s="286"/>
      <c r="G477" s="94" t="s">
        <v>81</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row>
    <row r="478" spans="2:35" ht="75">
      <c r="B478" s="17"/>
      <c r="C478" s="17"/>
      <c r="D478" s="285"/>
      <c r="E478" s="285"/>
      <c r="F478" s="286"/>
      <c r="G478" s="94" t="s">
        <v>82</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85"/>
      <c r="E479" s="285"/>
      <c r="F479" s="286"/>
      <c r="G479" s="94" t="s">
        <v>83</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85"/>
      <c r="E480" s="285"/>
      <c r="F480" s="286"/>
      <c r="G480" s="94" t="s">
        <v>408</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85"/>
      <c r="E481" s="285"/>
      <c r="F481" s="286"/>
      <c r="G481" s="94" t="s">
        <v>767</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85"/>
      <c r="E482" s="285"/>
      <c r="F482" s="286"/>
      <c r="G482" s="94" t="s">
        <v>768</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85"/>
      <c r="E483" s="285"/>
      <c r="F483" s="286"/>
      <c r="G483" s="94" t="s">
        <v>769</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85"/>
      <c r="E484" s="285"/>
      <c r="F484" s="286"/>
      <c r="G484" s="94" t="s">
        <v>770</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85"/>
      <c r="E485" s="285"/>
      <c r="F485" s="286"/>
      <c r="G485" s="94" t="s">
        <v>719</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85"/>
      <c r="E486" s="285"/>
      <c r="F486" s="286"/>
      <c r="G486" s="94" t="s">
        <v>56</v>
      </c>
      <c r="H486" s="62"/>
      <c r="I486" s="149"/>
      <c r="J486" s="150"/>
      <c r="K486" s="42"/>
      <c r="L486" s="42"/>
      <c r="M486" s="42"/>
      <c r="N486" s="91">
        <v>3131</v>
      </c>
      <c r="O486" s="150"/>
      <c r="P486" s="150"/>
      <c r="Q486" s="53">
        <v>60000</v>
      </c>
      <c r="R486" s="53" t="s">
        <v>55</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85"/>
      <c r="E487" s="285"/>
      <c r="F487" s="286"/>
      <c r="G487" s="94" t="s">
        <v>349</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row>
    <row r="488" spans="2:35" ht="93.75">
      <c r="B488" s="5"/>
      <c r="C488" s="5"/>
      <c r="D488" s="285"/>
      <c r="E488" s="285"/>
      <c r="F488" s="286"/>
      <c r="G488" s="94" t="s">
        <v>57</v>
      </c>
      <c r="H488" s="62"/>
      <c r="I488" s="149"/>
      <c r="J488" s="150"/>
      <c r="K488" s="42"/>
      <c r="L488" s="42"/>
      <c r="M488" s="42"/>
      <c r="N488" s="91">
        <v>3131</v>
      </c>
      <c r="O488" s="150"/>
      <c r="P488" s="150"/>
      <c r="Q488" s="53">
        <v>390275</v>
      </c>
      <c r="R488" s="53" t="s">
        <v>55</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v>5921</v>
      </c>
    </row>
    <row r="489" spans="2:35" ht="54" hidden="1">
      <c r="B489" s="17"/>
      <c r="C489" s="17"/>
      <c r="D489" s="285"/>
      <c r="E489" s="285"/>
      <c r="F489" s="286"/>
      <c r="G489" s="94" t="s">
        <v>720</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80" t="s">
        <v>252</v>
      </c>
      <c r="E490" s="280" t="s">
        <v>172</v>
      </c>
      <c r="F490" s="312" t="s">
        <v>588</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12.5">
      <c r="B491" s="17"/>
      <c r="C491" s="17"/>
      <c r="D491" s="310"/>
      <c r="E491" s="310"/>
      <c r="F491" s="312"/>
      <c r="G491" s="94" t="s">
        <v>721</v>
      </c>
      <c r="H491" s="62"/>
      <c r="I491" s="149"/>
      <c r="J491" s="150"/>
      <c r="K491" s="42"/>
      <c r="L491" s="42"/>
      <c r="M491" s="42"/>
      <c r="N491" s="91">
        <v>3131</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84" t="s">
        <v>643</v>
      </c>
      <c r="E492" s="284" t="s">
        <v>644</v>
      </c>
      <c r="F492" s="282" t="s">
        <v>194</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50000</v>
      </c>
      <c r="AC492" s="56">
        <f t="shared" si="64"/>
        <v>600000</v>
      </c>
      <c r="AD492" s="56">
        <f t="shared" si="64"/>
        <v>1350000</v>
      </c>
      <c r="AE492" s="56">
        <f t="shared" si="64"/>
        <v>417733</v>
      </c>
      <c r="AF492" s="56">
        <f t="shared" si="64"/>
        <v>50000</v>
      </c>
      <c r="AG492" s="56">
        <f t="shared" si="64"/>
        <v>742267</v>
      </c>
      <c r="AH492" s="56">
        <f t="shared" si="64"/>
        <v>0</v>
      </c>
      <c r="AI492" s="56">
        <f t="shared" si="64"/>
        <v>411000</v>
      </c>
    </row>
    <row r="493" spans="2:35" ht="112.5">
      <c r="B493" s="5"/>
      <c r="C493" s="5"/>
      <c r="D493" s="285"/>
      <c r="E493" s="285"/>
      <c r="F493" s="286"/>
      <c r="G493" s="164" t="s">
        <v>722</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row>
    <row r="494" spans="2:35" ht="75">
      <c r="B494" s="5"/>
      <c r="C494" s="5"/>
      <c r="D494" s="285"/>
      <c r="E494" s="285"/>
      <c r="F494" s="286"/>
      <c r="G494" s="94" t="s">
        <v>723</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85"/>
      <c r="E495" s="285"/>
      <c r="F495" s="286"/>
      <c r="G495" s="94" t="s">
        <v>724</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85"/>
      <c r="E496" s="285"/>
      <c r="F496" s="286"/>
      <c r="G496" s="94" t="s">
        <v>264</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c r="AC496" s="42"/>
      <c r="AD496" s="42">
        <v>1000000</v>
      </c>
      <c r="AE496" s="42">
        <v>417733</v>
      </c>
      <c r="AF496" s="42">
        <v>50000</v>
      </c>
      <c r="AG496" s="42">
        <v>122267</v>
      </c>
      <c r="AH496" s="42"/>
      <c r="AI496" s="42"/>
    </row>
    <row r="497" spans="2:35" ht="56.25">
      <c r="B497" s="17"/>
      <c r="C497" s="17"/>
      <c r="D497" s="285"/>
      <c r="E497" s="285"/>
      <c r="F497" s="286"/>
      <c r="G497" s="94" t="s">
        <v>725</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c r="AC497" s="42">
        <v>500000</v>
      </c>
      <c r="AD497" s="42">
        <v>350000</v>
      </c>
      <c r="AE497" s="42"/>
      <c r="AF497" s="42"/>
      <c r="AG497" s="42"/>
      <c r="AH497" s="42"/>
      <c r="AI497" s="42">
        <f>411000</f>
        <v>411000</v>
      </c>
    </row>
    <row r="498" spans="2:35" ht="18" hidden="1">
      <c r="B498" s="17"/>
      <c r="C498" s="17"/>
      <c r="D498" s="280" t="s">
        <v>176</v>
      </c>
      <c r="E498" s="280" t="s">
        <v>177</v>
      </c>
      <c r="F498" s="282" t="s">
        <v>200</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10"/>
      <c r="E499" s="310"/>
      <c r="F499" s="286"/>
      <c r="G499" s="167" t="s">
        <v>726</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84" t="s">
        <v>596</v>
      </c>
      <c r="E500" s="284" t="s">
        <v>537</v>
      </c>
      <c r="F500" s="282" t="s">
        <v>568</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1005035.3799999999</v>
      </c>
      <c r="AC500" s="56">
        <f t="shared" si="66"/>
        <v>21943192.62</v>
      </c>
      <c r="AD500" s="56">
        <f t="shared" si="66"/>
        <v>10564127</v>
      </c>
      <c r="AE500" s="56">
        <f t="shared" si="66"/>
        <v>2496582.25</v>
      </c>
      <c r="AF500" s="56">
        <f t="shared" si="66"/>
        <v>9634229.57</v>
      </c>
      <c r="AG500" s="56">
        <f t="shared" si="66"/>
        <v>4831115.18</v>
      </c>
      <c r="AH500" s="56">
        <f t="shared" si="66"/>
        <v>4248339</v>
      </c>
      <c r="AI500" s="56">
        <f t="shared" si="66"/>
        <v>24176321.200000003</v>
      </c>
    </row>
    <row r="501" spans="2:35" ht="75">
      <c r="B501" s="17"/>
      <c r="C501" s="17"/>
      <c r="D501" s="285"/>
      <c r="E501" s="285"/>
      <c r="F501" s="286"/>
      <c r="G501" s="164" t="s">
        <v>727</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c r="AD501" s="53"/>
      <c r="AE501" s="53">
        <v>220000</v>
      </c>
      <c r="AF501" s="53"/>
      <c r="AG501" s="53"/>
      <c r="AH501" s="53"/>
      <c r="AI501" s="53">
        <f>170000</f>
        <v>170000</v>
      </c>
    </row>
    <row r="502" spans="2:35" ht="93.75">
      <c r="B502" s="17"/>
      <c r="C502" s="17"/>
      <c r="D502" s="285"/>
      <c r="E502" s="285"/>
      <c r="F502" s="286"/>
      <c r="G502" s="164" t="s">
        <v>728</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c r="AC502" s="53"/>
      <c r="AD502" s="53"/>
      <c r="AE502" s="53"/>
      <c r="AF502" s="53"/>
      <c r="AG502" s="53"/>
      <c r="AH502" s="53"/>
      <c r="AI502" s="53"/>
    </row>
    <row r="503" spans="2:35" ht="75">
      <c r="B503" s="17"/>
      <c r="C503" s="17"/>
      <c r="D503" s="285"/>
      <c r="E503" s="285"/>
      <c r="F503" s="286"/>
      <c r="G503" s="164" t="s">
        <v>357</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85"/>
      <c r="E504" s="285"/>
      <c r="F504" s="286"/>
      <c r="G504" s="164" t="s">
        <v>729</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85"/>
      <c r="E505" s="285"/>
      <c r="F505" s="286"/>
      <c r="G505" s="164" t="s">
        <v>730</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c r="AC505" s="53"/>
      <c r="AD505" s="53"/>
      <c r="AE505" s="53"/>
      <c r="AF505" s="53"/>
      <c r="AG505" s="53"/>
      <c r="AH505" s="53"/>
      <c r="AI505" s="53">
        <f>20000</f>
        <v>20000</v>
      </c>
    </row>
    <row r="506" spans="2:35" ht="75">
      <c r="B506" s="17"/>
      <c r="C506" s="17"/>
      <c r="D506" s="285"/>
      <c r="E506" s="285"/>
      <c r="F506" s="286"/>
      <c r="G506" s="164" t="s">
        <v>152</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c r="AC506" s="53"/>
      <c r="AD506" s="53">
        <v>700000</v>
      </c>
      <c r="AE506" s="53"/>
      <c r="AF506" s="53"/>
      <c r="AG506" s="53"/>
      <c r="AH506" s="53"/>
      <c r="AI506" s="53"/>
    </row>
    <row r="507" spans="2:35" ht="75">
      <c r="B507" s="17"/>
      <c r="C507" s="17"/>
      <c r="D507" s="285"/>
      <c r="E507" s="285"/>
      <c r="F507" s="286"/>
      <c r="G507" s="164" t="s">
        <v>731</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c r="AC507" s="53"/>
      <c r="AD507" s="53"/>
      <c r="AE507" s="53"/>
      <c r="AF507" s="53"/>
      <c r="AG507" s="53"/>
      <c r="AH507" s="53"/>
      <c r="AI507" s="53">
        <f>20000</f>
        <v>20000</v>
      </c>
    </row>
    <row r="508" spans="2:35" ht="75">
      <c r="B508" s="17"/>
      <c r="C508" s="17"/>
      <c r="D508" s="285"/>
      <c r="E508" s="285"/>
      <c r="F508" s="286"/>
      <c r="G508" s="164" t="s">
        <v>146</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v>4859.62</v>
      </c>
      <c r="AD508" s="53"/>
      <c r="AE508" s="53">
        <v>100000</v>
      </c>
      <c r="AF508" s="53"/>
      <c r="AG508" s="53"/>
      <c r="AH508" s="53">
        <v>248339</v>
      </c>
      <c r="AI508" s="53"/>
    </row>
    <row r="509" spans="2:35" ht="75">
      <c r="B509" s="17"/>
      <c r="C509" s="17"/>
      <c r="D509" s="285"/>
      <c r="E509" s="285"/>
      <c r="F509" s="286"/>
      <c r="G509" s="164" t="s">
        <v>732</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85"/>
      <c r="E510" s="285"/>
      <c r="F510" s="286"/>
      <c r="G510" s="164" t="s">
        <v>358</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85"/>
      <c r="E511" s="285"/>
      <c r="F511" s="286"/>
      <c r="G511" s="164" t="s">
        <v>147</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c r="AC511" s="53"/>
      <c r="AD511" s="53"/>
      <c r="AE511" s="53"/>
      <c r="AF511" s="53">
        <v>1500000</v>
      </c>
      <c r="AG511" s="53"/>
      <c r="AH511" s="53"/>
      <c r="AI511" s="53"/>
    </row>
    <row r="512" spans="2:35" ht="37.5">
      <c r="B512" s="17"/>
      <c r="C512" s="17"/>
      <c r="D512" s="285"/>
      <c r="E512" s="285"/>
      <c r="F512" s="286"/>
      <c r="G512" s="164" t="s">
        <v>359</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c r="AC512" s="53"/>
      <c r="AD512" s="53"/>
      <c r="AE512" s="53"/>
      <c r="AF512" s="53"/>
      <c r="AG512" s="53"/>
      <c r="AH512" s="53"/>
      <c r="AI512" s="53"/>
    </row>
    <row r="513" spans="2:35" ht="37.5">
      <c r="B513" s="17"/>
      <c r="C513" s="17"/>
      <c r="D513" s="285"/>
      <c r="E513" s="285"/>
      <c r="F513" s="286"/>
      <c r="G513" s="164" t="s">
        <v>360</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85"/>
      <c r="E514" s="285"/>
      <c r="F514" s="286"/>
      <c r="G514" s="164" t="s">
        <v>361</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85"/>
      <c r="E515" s="285"/>
      <c r="F515" s="286"/>
      <c r="G515" s="164" t="s">
        <v>362</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85"/>
      <c r="E516" s="285"/>
      <c r="F516" s="286"/>
      <c r="G516" s="164" t="s">
        <v>363</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85"/>
      <c r="E517" s="285"/>
      <c r="F517" s="286"/>
      <c r="G517" s="164" t="s">
        <v>364</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85"/>
      <c r="E518" s="285"/>
      <c r="F518" s="286"/>
      <c r="G518" s="164" t="s">
        <v>365</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f>
        <v>11900000</v>
      </c>
      <c r="AD518" s="53"/>
      <c r="AE518" s="53"/>
      <c r="AF518" s="53">
        <f>152379.64+3774249.93</f>
        <v>3926629.5700000003</v>
      </c>
      <c r="AG518" s="53">
        <v>3073370.4299999997</v>
      </c>
      <c r="AH518" s="53">
        <v>3500000</v>
      </c>
      <c r="AI518" s="53">
        <f>250000+350000</f>
        <v>600000</v>
      </c>
    </row>
    <row r="519" spans="2:35" ht="56.25">
      <c r="B519" s="17"/>
      <c r="C519" s="17"/>
      <c r="D519" s="285"/>
      <c r="E519" s="285"/>
      <c r="F519" s="286"/>
      <c r="G519" s="164" t="s">
        <v>366</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f>
        <v>80000</v>
      </c>
    </row>
    <row r="520" spans="2:35" ht="37.5">
      <c r="B520" s="17"/>
      <c r="C520" s="17"/>
      <c r="D520" s="285"/>
      <c r="E520" s="285"/>
      <c r="F520" s="286"/>
      <c r="G520" s="164" t="s">
        <v>352</v>
      </c>
      <c r="H520" s="171"/>
      <c r="I520" s="152"/>
      <c r="J520" s="150"/>
      <c r="K520" s="59"/>
      <c r="L520" s="59"/>
      <c r="M520" s="59"/>
      <c r="N520" s="91"/>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f>
        <v>3827900</v>
      </c>
      <c r="AC520" s="53">
        <f>713333-713333+2700000</f>
        <v>2700000</v>
      </c>
      <c r="AD520" s="53">
        <f>733333-733333+7045000+413527-3827900</f>
        <v>3630627</v>
      </c>
      <c r="AE520" s="53">
        <f>833334-833334+973488.25</f>
        <v>973488.25</v>
      </c>
      <c r="AF520" s="53">
        <f>692000-57666-634334+701511.75</f>
        <v>701511.75</v>
      </c>
      <c r="AG520" s="53">
        <v>130000</v>
      </c>
      <c r="AH520" s="53"/>
      <c r="AI520" s="53">
        <f>414000+1600000+35000+1475000+377786.33+128012.49+735000+730000+735000+50000+30000+35000+422065.03+30000+56670+76050+7050+67950+52185+1000000+353093.67</f>
        <v>8409862.520000001</v>
      </c>
    </row>
    <row r="521" spans="2:35" ht="56.25">
      <c r="B521" s="17"/>
      <c r="C521" s="17"/>
      <c r="D521" s="285"/>
      <c r="E521" s="285"/>
      <c r="F521" s="286"/>
      <c r="G521" s="164" t="s">
        <v>367</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c r="AC521" s="53">
        <v>500000</v>
      </c>
      <c r="AD521" s="53"/>
      <c r="AE521" s="53"/>
      <c r="AF521" s="53"/>
      <c r="AG521" s="53"/>
      <c r="AH521" s="53">
        <v>500000</v>
      </c>
      <c r="AI521" s="53">
        <f>108000+2394100+780000+290000</f>
        <v>3572100</v>
      </c>
    </row>
    <row r="522" spans="2:35" ht="37.5">
      <c r="B522" s="17"/>
      <c r="C522" s="17"/>
      <c r="D522" s="285"/>
      <c r="E522" s="285"/>
      <c r="F522" s="286"/>
      <c r="G522" s="164" t="s">
        <v>368</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f>
        <v>168000</v>
      </c>
      <c r="AC522" s="53"/>
      <c r="AD522" s="53">
        <v>832000</v>
      </c>
      <c r="AE522" s="53"/>
      <c r="AF522" s="53"/>
      <c r="AG522" s="53"/>
      <c r="AH522" s="53"/>
      <c r="AI522" s="53">
        <f>173000+900000+31000+900000+32000+1100000+32000</f>
        <v>3168000</v>
      </c>
    </row>
    <row r="523" spans="2:35" ht="54" hidden="1">
      <c r="B523" s="17"/>
      <c r="C523" s="17"/>
      <c r="D523" s="285"/>
      <c r="E523" s="285"/>
      <c r="F523" s="286"/>
      <c r="G523" s="164" t="s">
        <v>369</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85"/>
      <c r="E524" s="285"/>
      <c r="F524" s="286"/>
      <c r="G524" s="164" t="s">
        <v>801</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85"/>
      <c r="E525" s="285"/>
      <c r="F525" s="286"/>
      <c r="G525" s="164" t="s">
        <v>84</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85"/>
      <c r="E526" s="285"/>
      <c r="F526" s="286"/>
      <c r="G526" s="52" t="s">
        <v>320</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f>
        <v>6606685.68</v>
      </c>
    </row>
    <row r="527" spans="2:35" ht="37.5">
      <c r="B527" s="17"/>
      <c r="C527" s="17"/>
      <c r="D527" s="285"/>
      <c r="E527" s="285"/>
      <c r="F527" s="286"/>
      <c r="G527" s="52" t="s">
        <v>321</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f>
        <v>-148000</v>
      </c>
      <c r="AC527" s="42">
        <f>4300000-2700000-721000</f>
        <v>879000</v>
      </c>
      <c r="AD527" s="42">
        <f>2300000-2300000+869000</f>
        <v>869000</v>
      </c>
      <c r="AE527" s="42"/>
      <c r="AF527" s="42">
        <v>634334</v>
      </c>
      <c r="AG527" s="42"/>
      <c r="AH527" s="42"/>
      <c r="AI527" s="42">
        <f>43726+73807</f>
        <v>117533</v>
      </c>
    </row>
    <row r="528" spans="2:35" ht="56.25">
      <c r="B528" s="17"/>
      <c r="C528" s="17"/>
      <c r="D528" s="285"/>
      <c r="E528" s="285"/>
      <c r="F528" s="286"/>
      <c r="G528" s="164" t="s">
        <v>802</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85"/>
      <c r="E529" s="285"/>
      <c r="F529" s="286"/>
      <c r="G529" s="164" t="s">
        <v>803</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85"/>
      <c r="E530" s="285"/>
      <c r="F530" s="286"/>
      <c r="G530" s="164" t="s">
        <v>804</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85"/>
      <c r="E531" s="285"/>
      <c r="F531" s="286"/>
      <c r="G531" s="94" t="s">
        <v>45</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80" t="s">
        <v>606</v>
      </c>
      <c r="E532" s="280" t="s">
        <v>644</v>
      </c>
      <c r="F532" s="282" t="s">
        <v>540</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8054901.57</v>
      </c>
      <c r="AC532" s="56">
        <f t="shared" si="67"/>
        <v>3768000</v>
      </c>
      <c r="AD532" s="56">
        <f t="shared" si="67"/>
        <v>9661840.23</v>
      </c>
      <c r="AE532" s="56">
        <f t="shared" si="67"/>
        <v>3672500</v>
      </c>
      <c r="AF532" s="56">
        <f t="shared" si="67"/>
        <v>3476420.0700000003</v>
      </c>
      <c r="AG532" s="56">
        <f t="shared" si="67"/>
        <v>1383200</v>
      </c>
      <c r="AH532" s="56">
        <f t="shared" si="67"/>
        <v>4311559.77</v>
      </c>
      <c r="AI532" s="56">
        <f t="shared" si="67"/>
        <v>7511034.9399999995</v>
      </c>
    </row>
    <row r="533" spans="2:35" ht="56.25">
      <c r="B533" s="5"/>
      <c r="C533" s="5"/>
      <c r="D533" s="310"/>
      <c r="E533" s="310"/>
      <c r="F533" s="286"/>
      <c r="G533" s="176" t="s">
        <v>591</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3976801.5700000003</v>
      </c>
      <c r="AC533" s="64">
        <f t="shared" si="68"/>
        <v>2043000</v>
      </c>
      <c r="AD533" s="64">
        <f t="shared" si="68"/>
        <v>1042000</v>
      </c>
      <c r="AE533" s="64">
        <f t="shared" si="68"/>
        <v>2165400</v>
      </c>
      <c r="AF533" s="64">
        <f t="shared" si="68"/>
        <v>0</v>
      </c>
      <c r="AG533" s="64">
        <f t="shared" si="68"/>
        <v>1253200</v>
      </c>
      <c r="AH533" s="64">
        <f t="shared" si="68"/>
        <v>2506400</v>
      </c>
      <c r="AI533" s="64">
        <f t="shared" si="68"/>
        <v>888081.6</v>
      </c>
    </row>
    <row r="534" spans="2:35" ht="75">
      <c r="B534" s="5"/>
      <c r="C534" s="5"/>
      <c r="D534" s="310"/>
      <c r="E534" s="310"/>
      <c r="F534" s="286"/>
      <c r="G534" s="164" t="s">
        <v>46</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f>
        <v>3976801.5700000003</v>
      </c>
      <c r="AC534" s="42">
        <f>1000000+1000000-432000-25000</f>
        <v>1543000</v>
      </c>
      <c r="AD534" s="42">
        <f>1500000-458000</f>
        <v>1042000</v>
      </c>
      <c r="AE534" s="42">
        <f>909000-635511.75-273488.25+912200</f>
        <v>912200</v>
      </c>
      <c r="AF534" s="42">
        <f>1909000-1909000</f>
        <v>0</v>
      </c>
      <c r="AG534" s="42">
        <f>909000+999511.75-1908511.75</f>
        <v>0</v>
      </c>
      <c r="AH534" s="42">
        <f>909000+2000000+2000000-4909000</f>
        <v>0</v>
      </c>
      <c r="AI534" s="42">
        <f>888081.6</f>
        <v>888081.6</v>
      </c>
    </row>
    <row r="535" spans="2:35" ht="56.25">
      <c r="B535" s="5"/>
      <c r="C535" s="5"/>
      <c r="D535" s="310"/>
      <c r="E535" s="310"/>
      <c r="F535" s="286"/>
      <c r="G535" s="164" t="s">
        <v>406</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c r="AC535" s="53">
        <v>500000</v>
      </c>
      <c r="AD535" s="53"/>
      <c r="AE535" s="53">
        <v>1253200</v>
      </c>
      <c r="AF535" s="53"/>
      <c r="AG535" s="53">
        <v>1253200</v>
      </c>
      <c r="AH535" s="53">
        <v>2506400</v>
      </c>
      <c r="AI535" s="42"/>
    </row>
    <row r="536" spans="2:35" ht="34.5" hidden="1">
      <c r="B536" s="5"/>
      <c r="C536" s="5"/>
      <c r="D536" s="310"/>
      <c r="E536" s="310"/>
      <c r="F536" s="286"/>
      <c r="G536" s="176" t="s">
        <v>592</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10"/>
      <c r="E537" s="310"/>
      <c r="F537" s="286"/>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10"/>
      <c r="E538" s="310"/>
      <c r="F538" s="286"/>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10"/>
      <c r="E539" s="310"/>
      <c r="F539" s="286"/>
      <c r="G539" s="181" t="s">
        <v>593</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10"/>
      <c r="E540" s="310"/>
      <c r="F540" s="286"/>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10"/>
      <c r="E541" s="310"/>
      <c r="F541" s="286"/>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10"/>
      <c r="E542" s="310"/>
      <c r="F542" s="286"/>
      <c r="G542" s="181" t="s">
        <v>637</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10"/>
      <c r="E543" s="310"/>
      <c r="F543" s="286"/>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10"/>
      <c r="E544" s="310"/>
      <c r="F544" s="286"/>
      <c r="G544" s="95" t="s">
        <v>594</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906000</v>
      </c>
    </row>
    <row r="545" spans="2:35" ht="75">
      <c r="B545" s="5"/>
      <c r="C545" s="5"/>
      <c r="D545" s="310"/>
      <c r="E545" s="310"/>
      <c r="F545" s="286"/>
      <c r="G545" s="94" t="s">
        <v>393</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10"/>
      <c r="E546" s="310"/>
      <c r="F546" s="286"/>
      <c r="G546" s="94" t="s">
        <v>394</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10"/>
      <c r="E547" s="310"/>
      <c r="F547" s="286"/>
      <c r="G547" s="94" t="s">
        <v>395</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row>
    <row r="548" spans="2:35" ht="75">
      <c r="B548" s="5"/>
      <c r="C548" s="5"/>
      <c r="D548" s="310"/>
      <c r="E548" s="310"/>
      <c r="F548" s="286"/>
      <c r="G548" s="94" t="s">
        <v>149</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10"/>
      <c r="E549" s="310"/>
      <c r="F549" s="286"/>
      <c r="G549" s="94" t="s">
        <v>150</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10"/>
      <c r="E550" s="310"/>
      <c r="F550" s="286"/>
      <c r="G550" s="94" t="s">
        <v>270</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f>
        <v>650000</v>
      </c>
    </row>
    <row r="551" spans="2:35" ht="93.75">
      <c r="B551" s="5"/>
      <c r="C551" s="5"/>
      <c r="D551" s="310"/>
      <c r="E551" s="310"/>
      <c r="F551" s="286"/>
      <c r="G551" s="94" t="s">
        <v>396</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10"/>
      <c r="E552" s="310"/>
      <c r="F552" s="286"/>
      <c r="G552" s="94" t="s">
        <v>772</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10"/>
      <c r="E553" s="310"/>
      <c r="F553" s="286"/>
      <c r="G553" s="94" t="s">
        <v>397</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10"/>
      <c r="E554" s="310"/>
      <c r="F554" s="286"/>
      <c r="G554" s="95" t="s">
        <v>585</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3563641.53</v>
      </c>
    </row>
    <row r="555" spans="2:35" ht="75">
      <c r="B555" s="5"/>
      <c r="C555" s="5"/>
      <c r="D555" s="310"/>
      <c r="E555" s="310"/>
      <c r="F555" s="286"/>
      <c r="G555" s="94" t="s">
        <v>54</v>
      </c>
      <c r="H555" s="65"/>
      <c r="I555" s="152"/>
      <c r="J555" s="65"/>
      <c r="K555" s="42"/>
      <c r="L555" s="42"/>
      <c r="M555" s="42"/>
      <c r="N555" s="91">
        <v>3210</v>
      </c>
      <c r="O555" s="65"/>
      <c r="P555" s="65"/>
      <c r="Q555" s="43">
        <v>2000000</v>
      </c>
      <c r="R555" s="43" t="s">
        <v>55</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f>
        <v>1761399.37</v>
      </c>
    </row>
    <row r="556" spans="2:35" ht="75">
      <c r="B556" s="5"/>
      <c r="C556" s="5"/>
      <c r="D556" s="310"/>
      <c r="E556" s="310"/>
      <c r="F556" s="286"/>
      <c r="G556" s="94" t="s">
        <v>398</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f>
        <v>383306.36</v>
      </c>
    </row>
    <row r="557" spans="2:35" ht="75">
      <c r="B557" s="5"/>
      <c r="C557" s="5"/>
      <c r="D557" s="310"/>
      <c r="E557" s="310"/>
      <c r="F557" s="286"/>
      <c r="G557" s="94" t="s">
        <v>399</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10"/>
      <c r="E558" s="310"/>
      <c r="F558" s="286"/>
      <c r="G558" s="94" t="s">
        <v>400</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10"/>
      <c r="E559" s="310"/>
      <c r="F559" s="286"/>
      <c r="G559" s="94" t="s">
        <v>401</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10"/>
      <c r="E560" s="310"/>
      <c r="F560" s="286"/>
      <c r="G560" s="191" t="s">
        <v>638</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10"/>
      <c r="E561" s="310"/>
      <c r="F561" s="286"/>
      <c r="G561" s="193" t="s">
        <v>402</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10"/>
      <c r="E562" s="310"/>
      <c r="F562" s="286"/>
      <c r="G562" s="193" t="s">
        <v>403</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10"/>
      <c r="E563" s="310"/>
      <c r="F563" s="286"/>
      <c r="G563" s="193" t="s">
        <v>404</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10"/>
      <c r="E564" s="310"/>
      <c r="F564" s="286"/>
      <c r="G564" s="193" t="s">
        <v>405</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10"/>
      <c r="E565" s="310"/>
      <c r="F565" s="286"/>
      <c r="G565" s="193" t="s">
        <v>58</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10"/>
      <c r="E566" s="310"/>
      <c r="F566" s="286"/>
      <c r="G566" s="193" t="s">
        <v>59</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10"/>
      <c r="E567" s="310"/>
      <c r="F567" s="286"/>
      <c r="G567" s="193" t="s">
        <v>60</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10"/>
      <c r="E568" s="310"/>
      <c r="F568" s="286"/>
      <c r="G568" s="193" t="s">
        <v>61</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10"/>
      <c r="E569" s="310"/>
      <c r="F569" s="286"/>
      <c r="G569" s="193" t="s">
        <v>62</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310"/>
      <c r="E570" s="310"/>
      <c r="F570" s="286"/>
      <c r="G570" s="193" t="s">
        <v>63</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310"/>
      <c r="E571" s="310"/>
      <c r="F571" s="286"/>
      <c r="G571" s="193" t="s">
        <v>350</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10"/>
      <c r="E572" s="310"/>
      <c r="F572" s="286"/>
      <c r="G572" s="95" t="s">
        <v>639</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1100000</v>
      </c>
      <c r="AC572" s="68">
        <f t="shared" si="72"/>
        <v>25000</v>
      </c>
      <c r="AD572" s="68">
        <f t="shared" si="72"/>
        <v>650000</v>
      </c>
      <c r="AE572" s="68">
        <f t="shared" si="72"/>
        <v>0</v>
      </c>
      <c r="AF572" s="68">
        <f t="shared" si="72"/>
        <v>0</v>
      </c>
      <c r="AG572" s="68">
        <f t="shared" si="72"/>
        <v>0</v>
      </c>
      <c r="AH572" s="68">
        <f t="shared" si="72"/>
        <v>0</v>
      </c>
      <c r="AI572" s="68">
        <f t="shared" si="72"/>
        <v>325000</v>
      </c>
    </row>
    <row r="573" spans="2:35" ht="36">
      <c r="B573" s="5"/>
      <c r="C573" s="5"/>
      <c r="D573" s="310"/>
      <c r="E573" s="310"/>
      <c r="F573" s="286"/>
      <c r="G573" s="94" t="s">
        <v>64</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10"/>
      <c r="E574" s="310"/>
      <c r="F574" s="286"/>
      <c r="G574" s="94" t="s">
        <v>65</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c r="AC574" s="42"/>
      <c r="AD574" s="42"/>
      <c r="AE574" s="42">
        <f>1000000-1000000</f>
        <v>0</v>
      </c>
      <c r="AF574" s="42"/>
      <c r="AG574" s="42"/>
      <c r="AH574" s="42"/>
      <c r="AI574" s="42"/>
    </row>
    <row r="575" spans="2:35" ht="54">
      <c r="B575" s="5"/>
      <c r="C575" s="5"/>
      <c r="D575" s="310"/>
      <c r="E575" s="310"/>
      <c r="F575" s="286"/>
      <c r="G575" s="94" t="s">
        <v>66</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10"/>
      <c r="E576" s="310"/>
      <c r="F576" s="286"/>
      <c r="G576" s="94" t="s">
        <v>263</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310"/>
      <c r="E577" s="310"/>
      <c r="F577" s="286"/>
      <c r="G577" s="94" t="s">
        <v>148</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row>
    <row r="578" spans="2:35" ht="36">
      <c r="B578" s="5"/>
      <c r="C578" s="5"/>
      <c r="D578" s="310"/>
      <c r="E578" s="310"/>
      <c r="F578" s="286"/>
      <c r="G578" s="94" t="s">
        <v>771</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10"/>
      <c r="E579" s="310"/>
      <c r="F579" s="286"/>
      <c r="G579" s="95" t="s">
        <v>636</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0</v>
      </c>
      <c r="AC579" s="68">
        <f t="shared" si="73"/>
        <v>0</v>
      </c>
      <c r="AD579" s="68">
        <f t="shared" si="73"/>
        <v>0</v>
      </c>
      <c r="AE579" s="68">
        <f t="shared" si="73"/>
        <v>0</v>
      </c>
      <c r="AF579" s="68">
        <f t="shared" si="73"/>
        <v>2157470</v>
      </c>
      <c r="AG579" s="68">
        <f t="shared" si="73"/>
        <v>0</v>
      </c>
      <c r="AH579" s="68">
        <f t="shared" si="73"/>
        <v>0</v>
      </c>
      <c r="AI579" s="68">
        <f t="shared" si="73"/>
        <v>0</v>
      </c>
    </row>
    <row r="580" spans="2:35" ht="54">
      <c r="B580" s="5"/>
      <c r="C580" s="5"/>
      <c r="D580" s="310"/>
      <c r="E580" s="310"/>
      <c r="F580" s="286"/>
      <c r="G580" s="94" t="s">
        <v>67</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c r="AC580" s="42"/>
      <c r="AD580" s="42"/>
      <c r="AE580" s="42"/>
      <c r="AF580" s="42"/>
      <c r="AG580" s="42"/>
      <c r="AH580" s="42"/>
      <c r="AI580" s="42"/>
    </row>
    <row r="581" spans="2:35" ht="36">
      <c r="B581" s="5"/>
      <c r="C581" s="5"/>
      <c r="D581" s="310"/>
      <c r="E581" s="310"/>
      <c r="F581" s="286"/>
      <c r="G581" s="94" t="s">
        <v>68</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row>
    <row r="582" spans="2:35" ht="36">
      <c r="B582" s="5"/>
      <c r="C582" s="5"/>
      <c r="D582" s="310"/>
      <c r="E582" s="310"/>
      <c r="F582" s="286"/>
      <c r="G582" s="94" t="s">
        <v>69</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5" customFormat="1" ht="34.5">
      <c r="A583" s="7"/>
      <c r="B583" s="5"/>
      <c r="C583" s="5"/>
      <c r="D583" s="310"/>
      <c r="E583" s="310"/>
      <c r="F583" s="286"/>
      <c r="G583" s="95" t="s">
        <v>266</v>
      </c>
      <c r="H583" s="66"/>
      <c r="I583" s="178"/>
      <c r="J583" s="192"/>
      <c r="K583" s="68"/>
      <c r="L583" s="67"/>
      <c r="M583" s="67"/>
      <c r="N583" s="264"/>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10"/>
      <c r="E584" s="310"/>
      <c r="F584" s="286"/>
      <c r="G584" s="94" t="s">
        <v>265</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10"/>
      <c r="E585" s="310"/>
      <c r="F585" s="286"/>
      <c r="G585" s="95" t="s">
        <v>640</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1828311.81</v>
      </c>
    </row>
    <row r="586" spans="2:35" ht="36">
      <c r="B586" s="5"/>
      <c r="C586" s="5"/>
      <c r="D586" s="310"/>
      <c r="E586" s="310"/>
      <c r="F586" s="286"/>
      <c r="G586" s="94" t="s">
        <v>70</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c r="AC586" s="42"/>
      <c r="AD586" s="42">
        <f>7950000-1805159.77</f>
        <v>6144840.23</v>
      </c>
      <c r="AE586" s="42"/>
      <c r="AF586" s="42"/>
      <c r="AG586" s="42"/>
      <c r="AH586" s="42">
        <v>1805159.77</v>
      </c>
      <c r="AI586" s="42"/>
    </row>
    <row r="587" spans="2:35" ht="18">
      <c r="B587" s="5"/>
      <c r="C587" s="5"/>
      <c r="D587" s="310"/>
      <c r="E587" s="310"/>
      <c r="F587" s="286"/>
      <c r="G587" s="94" t="s">
        <v>633</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10"/>
      <c r="E588" s="310"/>
      <c r="F588" s="286"/>
      <c r="G588" s="94" t="s">
        <v>619</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10"/>
      <c r="E589" s="310"/>
      <c r="F589" s="286"/>
      <c r="G589" s="94" t="s">
        <v>71</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v>600000</v>
      </c>
      <c r="AC589" s="42">
        <v>600000</v>
      </c>
      <c r="AD589" s="42">
        <f>1820000-1200000</f>
        <v>620000</v>
      </c>
      <c r="AE589" s="42"/>
      <c r="AF589" s="42"/>
      <c r="AG589" s="42"/>
      <c r="AH589" s="42"/>
      <c r="AI589" s="42">
        <f>52000+21120+2880+1549360.8+28806.01</f>
        <v>1654166.81</v>
      </c>
    </row>
    <row r="590" spans="2:35" ht="18" hidden="1">
      <c r="B590" s="5"/>
      <c r="C590" s="5"/>
      <c r="D590" s="280" t="s">
        <v>223</v>
      </c>
      <c r="E590" s="280" t="s">
        <v>179</v>
      </c>
      <c r="F590" s="282" t="s">
        <v>231</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10"/>
      <c r="E591" s="310"/>
      <c r="F591" s="286"/>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10"/>
      <c r="E592" s="310"/>
      <c r="F592" s="286"/>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10"/>
      <c r="E593" s="310"/>
      <c r="F593" s="286"/>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10"/>
      <c r="E594" s="310"/>
      <c r="F594" s="286"/>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81"/>
      <c r="E595" s="281"/>
      <c r="F595" s="283"/>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80" t="s">
        <v>232</v>
      </c>
      <c r="E596" s="280" t="s">
        <v>182</v>
      </c>
      <c r="F596" s="282" t="s">
        <v>181</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10"/>
      <c r="E597" s="310"/>
      <c r="F597" s="286"/>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10"/>
      <c r="E598" s="310"/>
      <c r="F598" s="286"/>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10"/>
      <c r="E599" s="310"/>
      <c r="F599" s="286"/>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10"/>
      <c r="E600" s="310"/>
      <c r="F600" s="286"/>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81"/>
      <c r="E601" s="281"/>
      <c r="F601" s="283"/>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80" t="s">
        <v>233</v>
      </c>
      <c r="E602" s="280" t="s">
        <v>180</v>
      </c>
      <c r="F602" s="282" t="s">
        <v>234</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10"/>
      <c r="E603" s="310"/>
      <c r="F603" s="286"/>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81"/>
      <c r="E604" s="281"/>
      <c r="F604" s="283"/>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80" t="s">
        <v>253</v>
      </c>
      <c r="E605" s="280" t="s">
        <v>178</v>
      </c>
      <c r="F605" s="282" t="s">
        <v>641</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10"/>
      <c r="E606" s="310"/>
      <c r="F606" s="286"/>
      <c r="G606" s="167" t="s">
        <v>72</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23" t="s">
        <v>196</v>
      </c>
      <c r="E607" s="323" t="s">
        <v>601</v>
      </c>
      <c r="F607" s="324" t="s">
        <v>197</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23"/>
      <c r="E608" s="323"/>
      <c r="F608" s="324"/>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23"/>
      <c r="E609" s="323"/>
      <c r="F609" s="324"/>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598</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13571342.190000001</v>
      </c>
    </row>
    <row r="611" spans="2:35" ht="18">
      <c r="B611" s="17"/>
      <c r="D611" s="280" t="s">
        <v>236</v>
      </c>
      <c r="E611" s="321" t="s">
        <v>646</v>
      </c>
      <c r="F611" s="282" t="s">
        <v>237</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94140</v>
      </c>
    </row>
    <row r="612" spans="2:35" ht="36">
      <c r="B612" s="17"/>
      <c r="D612" s="310"/>
      <c r="E612" s="325"/>
      <c r="F612" s="286"/>
      <c r="G612" s="199" t="s">
        <v>73</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10"/>
      <c r="E613" s="325"/>
      <c r="F613" s="286"/>
      <c r="G613" s="94" t="s">
        <v>74</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81"/>
      <c r="E614" s="322"/>
      <c r="F614" s="283"/>
      <c r="G614" s="94" t="s">
        <v>75</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row>
    <row r="615" spans="2:35" ht="18" hidden="1">
      <c r="B615" s="5"/>
      <c r="C615" s="5"/>
      <c r="D615" s="284" t="s">
        <v>239</v>
      </c>
      <c r="E615" s="284" t="s">
        <v>649</v>
      </c>
      <c r="F615" s="282" t="s">
        <v>163</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85"/>
      <c r="E616" s="285"/>
      <c r="F616" s="286"/>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85"/>
      <c r="E617" s="285"/>
      <c r="F617" s="286"/>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85"/>
      <c r="E618" s="285"/>
      <c r="F618" s="286"/>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85"/>
      <c r="E619" s="285"/>
      <c r="F619" s="286"/>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85"/>
      <c r="E620" s="285"/>
      <c r="F620" s="286"/>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84" t="s">
        <v>240</v>
      </c>
      <c r="E621" s="284" t="s">
        <v>651</v>
      </c>
      <c r="F621" s="282" t="s">
        <v>650</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85"/>
      <c r="E622" s="285"/>
      <c r="F622" s="286"/>
      <c r="G622" s="108" t="s">
        <v>777</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85"/>
      <c r="E623" s="285"/>
      <c r="F623" s="286"/>
      <c r="G623" s="94" t="s">
        <v>778</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85"/>
      <c r="E624" s="285"/>
      <c r="F624" s="286"/>
      <c r="G624" s="94" t="s">
        <v>779</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85"/>
      <c r="E625" s="285"/>
      <c r="F625" s="286"/>
      <c r="G625" s="108" t="s">
        <v>780</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326" t="s">
        <v>241</v>
      </c>
      <c r="E626" s="326" t="s">
        <v>185</v>
      </c>
      <c r="F626" s="328" t="s">
        <v>112</v>
      </c>
      <c r="G626" s="146"/>
      <c r="H626" s="62"/>
      <c r="I626" s="149"/>
      <c r="J626" s="150"/>
      <c r="K626" s="42"/>
      <c r="L626" s="42"/>
      <c r="M626" s="42"/>
      <c r="N626" s="91"/>
      <c r="O626" s="150"/>
      <c r="P626" s="150"/>
      <c r="Q626" s="61">
        <f>Q627</f>
        <v>0</v>
      </c>
      <c r="R626" s="61"/>
      <c r="S626" s="208">
        <f>S627</f>
        <v>1070000</v>
      </c>
      <c r="T626" s="208"/>
      <c r="U626" s="256"/>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327"/>
      <c r="E627" s="327"/>
      <c r="F627" s="329"/>
      <c r="G627" s="94" t="s">
        <v>674</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80" t="s">
        <v>252</v>
      </c>
      <c r="E628" s="280" t="s">
        <v>172</v>
      </c>
      <c r="F628" s="282" t="s">
        <v>588</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81"/>
      <c r="E629" s="281"/>
      <c r="F629" s="286"/>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84" t="s">
        <v>171</v>
      </c>
      <c r="E630" s="284" t="s">
        <v>174</v>
      </c>
      <c r="F630" s="282" t="s">
        <v>175</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85"/>
      <c r="E631" s="285"/>
      <c r="F631" s="286"/>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85"/>
      <c r="E632" s="285"/>
      <c r="F632" s="286"/>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85"/>
      <c r="E633" s="285"/>
      <c r="F633" s="286"/>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14"/>
      <c r="E634" s="314"/>
      <c r="F634" s="283"/>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84" t="s">
        <v>188</v>
      </c>
      <c r="E635" s="284" t="s">
        <v>190</v>
      </c>
      <c r="F635" s="282" t="s">
        <v>192</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85"/>
      <c r="E636" s="285"/>
      <c r="F636" s="286"/>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85"/>
      <c r="E637" s="285"/>
      <c r="F637" s="286"/>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14"/>
      <c r="E638" s="314"/>
      <c r="F638" s="283"/>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84" t="s">
        <v>643</v>
      </c>
      <c r="E639" s="284" t="s">
        <v>644</v>
      </c>
      <c r="F639" s="282" t="s">
        <v>194</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64769.4</v>
      </c>
    </row>
    <row r="640" spans="2:35" ht="66" customHeight="1">
      <c r="B640" s="17"/>
      <c r="C640" s="17"/>
      <c r="D640" s="285"/>
      <c r="E640" s="285"/>
      <c r="F640" s="286"/>
      <c r="G640" s="141" t="s">
        <v>781</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85"/>
      <c r="E641" s="285"/>
      <c r="F641" s="286"/>
      <c r="G641" s="141" t="s">
        <v>782</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row>
    <row r="642" spans="1:35" s="39" customFormat="1" ht="54">
      <c r="A642" s="40"/>
      <c r="B642" s="17"/>
      <c r="C642" s="17"/>
      <c r="D642" s="285"/>
      <c r="E642" s="285"/>
      <c r="F642" s="286"/>
      <c r="G642" s="141" t="s">
        <v>783</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85"/>
      <c r="E643" s="285"/>
      <c r="F643" s="286"/>
      <c r="G643" s="141" t="s">
        <v>784</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85"/>
      <c r="E644" s="285"/>
      <c r="F644" s="286"/>
      <c r="G644" s="141" t="s">
        <v>774</v>
      </c>
      <c r="H644" s="42"/>
      <c r="I644" s="92"/>
      <c r="J644" s="140"/>
      <c r="K644" s="42"/>
      <c r="L644" s="42"/>
      <c r="M644" s="42"/>
      <c r="N644" s="91"/>
      <c r="O644" s="53"/>
      <c r="P644" s="140"/>
      <c r="Q644" s="53"/>
      <c r="R644" s="53">
        <v>100000</v>
      </c>
      <c r="S644" s="53"/>
      <c r="T644" s="53"/>
      <c r="U644" s="53"/>
      <c r="V644" s="53">
        <v>100000</v>
      </c>
      <c r="W644" s="42"/>
      <c r="X644" s="42"/>
      <c r="Y644" s="42"/>
      <c r="Z644" s="42"/>
      <c r="AA644" s="42"/>
      <c r="AB644" s="42"/>
      <c r="AC644" s="42"/>
      <c r="AD644" s="42"/>
      <c r="AE644" s="42"/>
      <c r="AF644" s="42"/>
      <c r="AG644" s="42">
        <v>100000</v>
      </c>
      <c r="AH644" s="42"/>
      <c r="AI644" s="42"/>
    </row>
    <row r="645" spans="1:35" s="39" customFormat="1" ht="54">
      <c r="A645" s="40"/>
      <c r="B645" s="17"/>
      <c r="C645" s="17"/>
      <c r="D645" s="285"/>
      <c r="E645" s="285"/>
      <c r="F645" s="286"/>
      <c r="G645" s="94" t="s">
        <v>785</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85"/>
      <c r="E646" s="285"/>
      <c r="F646" s="286"/>
      <c r="G646" s="94" t="s">
        <v>786</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row>
    <row r="647" spans="1:35" s="39" customFormat="1" ht="54">
      <c r="A647" s="40"/>
      <c r="B647" s="17"/>
      <c r="C647" s="17"/>
      <c r="D647" s="285"/>
      <c r="E647" s="285"/>
      <c r="F647" s="286"/>
      <c r="G647" s="94" t="s">
        <v>787</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85"/>
      <c r="E648" s="285"/>
      <c r="F648" s="286"/>
      <c r="G648" s="141" t="s">
        <v>788</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85"/>
      <c r="E649" s="285"/>
      <c r="F649" s="286"/>
      <c r="G649" s="141" t="s">
        <v>789</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85"/>
      <c r="E650" s="285"/>
      <c r="F650" s="286"/>
      <c r="G650" s="141" t="s">
        <v>790</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85"/>
      <c r="E651" s="285"/>
      <c r="F651" s="286"/>
      <c r="G651" s="141" t="s">
        <v>2</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85"/>
      <c r="E652" s="285"/>
      <c r="F652" s="286"/>
      <c r="G652" s="141" t="s">
        <v>3</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85"/>
      <c r="E653" s="285"/>
      <c r="F653" s="286"/>
      <c r="G653" s="141" t="s">
        <v>4</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85"/>
      <c r="E654" s="285"/>
      <c r="F654" s="286"/>
      <c r="G654" s="108" t="s">
        <v>5</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85"/>
      <c r="E655" s="285"/>
      <c r="F655" s="286"/>
      <c r="G655" s="108" t="s">
        <v>6</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85"/>
      <c r="E656" s="285"/>
      <c r="F656" s="286"/>
      <c r="G656" s="94" t="s">
        <v>7</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85"/>
      <c r="E657" s="285"/>
      <c r="F657" s="286"/>
      <c r="G657" s="141" t="s">
        <v>8</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f>
        <v>380000</v>
      </c>
      <c r="AD657" s="42">
        <f>615000+240000</f>
        <v>855000</v>
      </c>
      <c r="AE657" s="42">
        <f>135000+240000</f>
        <v>375000</v>
      </c>
      <c r="AF657" s="42">
        <v>240000</v>
      </c>
      <c r="AG657" s="42">
        <v>240000</v>
      </c>
      <c r="AH657" s="42">
        <v>240000</v>
      </c>
      <c r="AI657" s="42">
        <v>20000</v>
      </c>
    </row>
    <row r="658" spans="2:35" ht="36">
      <c r="B658" s="5"/>
      <c r="C658" s="5"/>
      <c r="D658" s="285"/>
      <c r="E658" s="285"/>
      <c r="F658" s="286"/>
      <c r="G658" s="141" t="s">
        <v>9</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84" t="s">
        <v>244</v>
      </c>
      <c r="E659" s="284" t="s">
        <v>651</v>
      </c>
      <c r="F659" s="282" t="s">
        <v>195</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85"/>
      <c r="E660" s="285"/>
      <c r="F660" s="286"/>
      <c r="G660" s="108" t="s">
        <v>10</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85"/>
      <c r="E661" s="285"/>
      <c r="F661" s="286"/>
      <c r="G661" s="214" t="s">
        <v>791</v>
      </c>
      <c r="H661" s="211"/>
      <c r="I661" s="123"/>
      <c r="J661" s="212"/>
      <c r="K661" s="128"/>
      <c r="L661" s="128"/>
      <c r="M661" s="128"/>
      <c r="N661" s="91">
        <v>3210</v>
      </c>
      <c r="O661" s="213"/>
      <c r="P661" s="213"/>
      <c r="Q661" s="53">
        <v>200000</v>
      </c>
      <c r="R661" s="53" t="s">
        <v>55</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84" t="s">
        <v>11</v>
      </c>
      <c r="E662" s="280" t="s">
        <v>12</v>
      </c>
      <c r="F662" s="282" t="s">
        <v>13</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314"/>
      <c r="E663" s="281"/>
      <c r="F663" s="283"/>
      <c r="G663" s="94" t="s">
        <v>14</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84" t="s">
        <v>596</v>
      </c>
      <c r="E664" s="284" t="s">
        <v>537</v>
      </c>
      <c r="F664" s="282" t="s">
        <v>568</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13410572.790000001</v>
      </c>
    </row>
    <row r="665" spans="2:35" ht="63" customHeight="1">
      <c r="B665" s="17"/>
      <c r="C665" s="17"/>
      <c r="D665" s="285"/>
      <c r="E665" s="285"/>
      <c r="F665" s="286"/>
      <c r="G665" s="94" t="s">
        <v>655</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85"/>
      <c r="E666" s="285"/>
      <c r="F666" s="286"/>
      <c r="G666" s="146" t="s">
        <v>435</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85"/>
      <c r="E667" s="285"/>
      <c r="F667" s="286"/>
      <c r="G667" s="146" t="s">
        <v>436</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85"/>
      <c r="E668" s="285"/>
      <c r="F668" s="286"/>
      <c r="G668" s="146" t="s">
        <v>437</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85"/>
      <c r="E669" s="285"/>
      <c r="F669" s="286"/>
      <c r="G669" s="146" t="s">
        <v>488</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85"/>
      <c r="E670" s="285"/>
      <c r="F670" s="286"/>
      <c r="G670" s="146" t="s">
        <v>489</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85"/>
      <c r="E671" s="285"/>
      <c r="F671" s="286"/>
      <c r="G671" s="146" t="s">
        <v>490</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85"/>
      <c r="E672" s="285"/>
      <c r="F672" s="286"/>
      <c r="G672" s="146" t="s">
        <v>615</v>
      </c>
      <c r="H672" s="215"/>
      <c r="I672" s="92"/>
      <c r="J672" s="210"/>
      <c r="K672" s="53"/>
      <c r="L672" s="53"/>
      <c r="M672" s="42"/>
      <c r="N672" s="91">
        <v>3132</v>
      </c>
      <c r="O672" s="53"/>
      <c r="P672" s="210"/>
      <c r="Q672" s="42">
        <v>850000</v>
      </c>
      <c r="R672" s="42"/>
      <c r="S672" s="260" t="s">
        <v>616</v>
      </c>
      <c r="T672" s="260"/>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85"/>
      <c r="E673" s="285"/>
      <c r="F673" s="286"/>
      <c r="G673" s="146" t="s">
        <v>491</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85"/>
      <c r="E674" s="285"/>
      <c r="F674" s="286"/>
      <c r="G674" s="146" t="s">
        <v>492</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85"/>
      <c r="E675" s="285"/>
      <c r="F675" s="286"/>
      <c r="G675" s="146" t="s">
        <v>493</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85"/>
      <c r="E676" s="285"/>
      <c r="F676" s="286"/>
      <c r="G676" s="146" t="s">
        <v>494</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85"/>
      <c r="E677" s="285"/>
      <c r="F677" s="286"/>
      <c r="G677" s="146" t="s">
        <v>88</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85"/>
      <c r="E678" s="285"/>
      <c r="F678" s="286"/>
      <c r="G678" s="146" t="s">
        <v>89</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85"/>
      <c r="E679" s="285"/>
      <c r="F679" s="286"/>
      <c r="G679" s="94" t="s">
        <v>495</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85"/>
      <c r="E680" s="285"/>
      <c r="F680" s="286"/>
      <c r="G680" s="146" t="s">
        <v>496</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85"/>
      <c r="E681" s="285"/>
      <c r="F681" s="286"/>
      <c r="G681" s="94" t="s">
        <v>497</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85"/>
      <c r="E682" s="285"/>
      <c r="F682" s="286"/>
      <c r="G682" s="94" t="s">
        <v>498</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85"/>
      <c r="E683" s="285"/>
      <c r="F683" s="286"/>
      <c r="G683" s="94" t="s">
        <v>353</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85"/>
      <c r="E684" s="285"/>
      <c r="F684" s="286"/>
      <c r="G684" s="94" t="s">
        <v>499</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85"/>
      <c r="E685" s="285"/>
      <c r="F685" s="286"/>
      <c r="G685" s="94" t="s">
        <v>500</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85"/>
      <c r="E686" s="285"/>
      <c r="F686" s="286"/>
      <c r="G686" s="94" t="s">
        <v>501</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85"/>
      <c r="E687" s="285"/>
      <c r="F687" s="286"/>
      <c r="G687" s="94" t="s">
        <v>502</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85"/>
      <c r="E688" s="285"/>
      <c r="F688" s="286"/>
      <c r="G688" s="146" t="s">
        <v>99</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85"/>
      <c r="E689" s="285"/>
      <c r="F689" s="286"/>
      <c r="G689" s="146" t="s">
        <v>100</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85"/>
      <c r="E690" s="285"/>
      <c r="F690" s="286"/>
      <c r="G690" s="146" t="s">
        <v>101</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85"/>
      <c r="E691" s="285"/>
      <c r="F691" s="286"/>
      <c r="G691" s="146" t="s">
        <v>773</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85"/>
      <c r="E692" s="285"/>
      <c r="F692" s="286"/>
      <c r="G692" s="146" t="s">
        <v>102</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85"/>
      <c r="E693" s="285"/>
      <c r="F693" s="286"/>
      <c r="G693" s="94" t="s">
        <v>103</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85"/>
      <c r="E694" s="285"/>
      <c r="F694" s="286"/>
      <c r="G694" s="94" t="s">
        <v>122</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v>1525000</v>
      </c>
      <c r="AC694" s="42"/>
      <c r="AD694" s="42"/>
      <c r="AE694" s="42"/>
      <c r="AF694" s="42"/>
      <c r="AG694" s="42"/>
      <c r="AH694" s="42"/>
      <c r="AI694" s="42">
        <f>22689.24+253244.1+29437.7+941917.2+15430.54</f>
        <v>1262718.78</v>
      </c>
    </row>
    <row r="695" spans="2:35" ht="36">
      <c r="B695" s="17"/>
      <c r="C695" s="17"/>
      <c r="D695" s="285"/>
      <c r="E695" s="285"/>
      <c r="F695" s="286"/>
      <c r="G695" s="94" t="s">
        <v>79</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f>
        <v>2000000</v>
      </c>
      <c r="AC695" s="42"/>
      <c r="AD695" s="42"/>
      <c r="AE695" s="42">
        <f>1000000-749150</f>
        <v>250850</v>
      </c>
      <c r="AF695" s="42">
        <f>1000000-1000000</f>
        <v>0</v>
      </c>
      <c r="AG695" s="42">
        <f>1325950+1000000-1000000-550500-88109</f>
        <v>687341</v>
      </c>
      <c r="AH695" s="42">
        <f>500000-500000</f>
        <v>0</v>
      </c>
      <c r="AI695" s="42"/>
    </row>
    <row r="696" spans="2:35" ht="39.75" customHeight="1">
      <c r="B696" s="17"/>
      <c r="C696" s="17"/>
      <c r="D696" s="285"/>
      <c r="E696" s="285"/>
      <c r="F696" s="286"/>
      <c r="G696" s="94" t="s">
        <v>656</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85"/>
      <c r="E697" s="285"/>
      <c r="F697" s="286"/>
      <c r="G697" s="94" t="s">
        <v>104</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85"/>
      <c r="E698" s="285"/>
      <c r="F698" s="286"/>
      <c r="G698" s="94" t="s">
        <v>87</v>
      </c>
      <c r="H698" s="216"/>
      <c r="I698" s="216"/>
      <c r="J698" s="268"/>
      <c r="K698" s="216"/>
      <c r="L698" s="216"/>
      <c r="M698" s="216"/>
      <c r="N698" s="91">
        <v>3142</v>
      </c>
      <c r="O698" s="216"/>
      <c r="P698" s="268"/>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85"/>
      <c r="E699" s="285"/>
      <c r="F699" s="286"/>
      <c r="G699" s="94" t="s">
        <v>657</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85"/>
      <c r="E700" s="285"/>
      <c r="F700" s="286"/>
      <c r="G700" s="94" t="s">
        <v>105</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85"/>
      <c r="E701" s="285"/>
      <c r="F701" s="286"/>
      <c r="G701" s="94" t="s">
        <v>658</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85"/>
      <c r="E702" s="285"/>
      <c r="F702" s="286"/>
      <c r="G702" s="94" t="s">
        <v>659</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85"/>
      <c r="E703" s="285"/>
      <c r="F703" s="286"/>
      <c r="G703" s="94" t="s">
        <v>106</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f>
        <v>0</v>
      </c>
      <c r="AC703" s="42"/>
      <c r="AD703" s="42"/>
      <c r="AE703" s="42">
        <f>1731585.76-912200</f>
        <v>819385.76</v>
      </c>
      <c r="AF703" s="42">
        <v>3000000</v>
      </c>
      <c r="AG703" s="42">
        <v>3741261.78</v>
      </c>
      <c r="AH703" s="42">
        <f>3421352.46-3000000</f>
        <v>421352.45999999996</v>
      </c>
      <c r="AI703" s="42">
        <f>13429+7850000</f>
        <v>7863429</v>
      </c>
    </row>
    <row r="704" spans="2:35" ht="62.25" customHeight="1">
      <c r="B704" s="17"/>
      <c r="C704" s="17"/>
      <c r="D704" s="285"/>
      <c r="E704" s="285"/>
      <c r="F704" s="286"/>
      <c r="G704" s="94" t="s">
        <v>675</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226</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227</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107</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108</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109</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141</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f>
        <v>81000</v>
      </c>
    </row>
    <row r="711" spans="2:35" ht="72">
      <c r="B711" s="17"/>
      <c r="C711" s="17"/>
      <c r="D711" s="127"/>
      <c r="E711" s="127"/>
      <c r="F711" s="116"/>
      <c r="G711" s="94" t="s">
        <v>142</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row>
    <row r="712" spans="2:35" ht="54">
      <c r="B712" s="17"/>
      <c r="C712" s="17"/>
      <c r="D712" s="127"/>
      <c r="E712" s="127"/>
      <c r="F712" s="116"/>
      <c r="G712" s="94" t="s">
        <v>528</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529</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530</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257"/>
      <c r="E715" s="257"/>
      <c r="F715" s="255"/>
      <c r="G715" s="258" t="s">
        <v>531</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8" t="s">
        <v>224</v>
      </c>
      <c r="E716" s="278" t="s">
        <v>601</v>
      </c>
      <c r="F716" s="276" t="s">
        <v>225</v>
      </c>
      <c r="G716" s="94"/>
      <c r="H716" s="218"/>
      <c r="I716" s="152"/>
      <c r="J716" s="219"/>
      <c r="K716" s="42"/>
      <c r="L716" s="42"/>
      <c r="M716" s="42"/>
      <c r="N716" s="91"/>
      <c r="O716" s="219"/>
      <c r="P716" s="219"/>
      <c r="Q716" s="219"/>
      <c r="R716" s="219"/>
      <c r="S716" s="259">
        <f>S717</f>
        <v>4923400</v>
      </c>
      <c r="T716" s="259"/>
      <c r="U716" s="259">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9"/>
      <c r="E717" s="279"/>
      <c r="F717" s="277"/>
      <c r="G717" s="94" t="s">
        <v>614</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13" t="s">
        <v>238</v>
      </c>
      <c r="E718" s="313" t="s">
        <v>183</v>
      </c>
      <c r="F718" s="312" t="s">
        <v>250</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1150</v>
      </c>
    </row>
    <row r="719" spans="1:35" s="39" customFormat="1" ht="18">
      <c r="A719" s="2"/>
      <c r="B719" s="262"/>
      <c r="C719" s="262"/>
      <c r="D719" s="313"/>
      <c r="E719" s="313"/>
      <c r="F719" s="312"/>
      <c r="G719" s="199" t="s">
        <v>633</v>
      </c>
      <c r="H719" s="42"/>
      <c r="I719" s="261"/>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313"/>
      <c r="E720" s="313"/>
      <c r="F720" s="312"/>
      <c r="G720" s="94" t="s">
        <v>15</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row>
    <row r="721" spans="2:35" ht="36">
      <c r="B721" s="5"/>
      <c r="C721" s="5"/>
      <c r="D721" s="313"/>
      <c r="E721" s="313"/>
      <c r="F721" s="312"/>
      <c r="G721" s="94" t="s">
        <v>16</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13"/>
      <c r="E722" s="313"/>
      <c r="F722" s="312"/>
      <c r="G722" s="95" t="s">
        <v>460</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13"/>
      <c r="E723" s="313"/>
      <c r="F723" s="312"/>
      <c r="G723" s="94" t="s">
        <v>17</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13"/>
      <c r="E724" s="313"/>
      <c r="F724" s="312"/>
      <c r="G724" s="94" t="s">
        <v>34</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13"/>
      <c r="E725" s="313"/>
      <c r="F725" s="312"/>
      <c r="G725" s="94" t="s">
        <v>85</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13"/>
      <c r="E726" s="313"/>
      <c r="F726" s="312"/>
      <c r="G726" s="94" t="s">
        <v>86</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13"/>
      <c r="E727" s="313"/>
      <c r="F727" s="312"/>
      <c r="G727" s="94" t="s">
        <v>35</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13"/>
      <c r="E728" s="313"/>
      <c r="F728" s="312"/>
      <c r="G728" s="95" t="s">
        <v>755</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13"/>
      <c r="E729" s="313"/>
      <c r="F729" s="312"/>
      <c r="G729" s="94" t="s">
        <v>36</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13"/>
      <c r="E730" s="313"/>
      <c r="F730" s="312"/>
      <c r="G730" s="94" t="s">
        <v>37</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13"/>
      <c r="E731" s="313"/>
      <c r="F731" s="312"/>
      <c r="G731" s="95" t="s">
        <v>756</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313"/>
      <c r="E732" s="313"/>
      <c r="F732" s="312"/>
      <c r="G732" s="94" t="s">
        <v>38</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13"/>
      <c r="E733" s="313"/>
      <c r="F733" s="312"/>
      <c r="G733" s="94" t="s">
        <v>39</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13"/>
      <c r="E734" s="313"/>
      <c r="F734" s="312"/>
      <c r="G734" s="94" t="s">
        <v>40</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13"/>
      <c r="E735" s="313"/>
      <c r="F735" s="312"/>
      <c r="G735" s="94" t="s">
        <v>41</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313"/>
      <c r="E736" s="313"/>
      <c r="F736" s="312"/>
      <c r="G736" s="94" t="s">
        <v>617</v>
      </c>
      <c r="H736" s="62"/>
      <c r="I736" s="149"/>
      <c r="J736" s="150"/>
      <c r="K736" s="42"/>
      <c r="L736" s="42"/>
      <c r="M736" s="42"/>
      <c r="N736" s="91">
        <v>3110</v>
      </c>
      <c r="O736" s="150"/>
      <c r="P736" s="150"/>
      <c r="Q736" s="53">
        <v>90000</v>
      </c>
      <c r="R736" s="53"/>
      <c r="S736" s="263" t="s">
        <v>618</v>
      </c>
      <c r="T736" s="263">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544</v>
      </c>
      <c r="D737" s="102"/>
      <c r="E737" s="103"/>
      <c r="F737" s="77" t="s">
        <v>599</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1095346.88</v>
      </c>
    </row>
    <row r="738" spans="2:35" ht="18">
      <c r="B738" s="5"/>
      <c r="D738" s="280" t="s">
        <v>236</v>
      </c>
      <c r="E738" s="321" t="s">
        <v>646</v>
      </c>
      <c r="F738" s="282" t="s">
        <v>237</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10"/>
      <c r="E739" s="325"/>
      <c r="F739" s="286"/>
      <c r="G739" s="88" t="s">
        <v>42</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10"/>
      <c r="E740" s="325"/>
      <c r="F740" s="286"/>
      <c r="G740" s="88" t="s">
        <v>613</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10"/>
      <c r="E741" s="325"/>
      <c r="F741" s="286"/>
      <c r="G741" s="88" t="s">
        <v>43</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84" t="s">
        <v>11</v>
      </c>
      <c r="E742" s="280" t="s">
        <v>12</v>
      </c>
      <c r="F742" s="282" t="s">
        <v>13</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85"/>
      <c r="E743" s="310"/>
      <c r="F743" s="286"/>
      <c r="G743" s="88" t="s">
        <v>44</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14"/>
      <c r="E744" s="281"/>
      <c r="F744" s="283"/>
      <c r="G744" s="88" t="s">
        <v>469</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13" t="s">
        <v>238</v>
      </c>
      <c r="E745" s="313" t="s">
        <v>183</v>
      </c>
      <c r="F745" s="312" t="s">
        <v>250</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846373.88</v>
      </c>
    </row>
    <row r="746" spans="2:35" ht="97.5" customHeight="1">
      <c r="B746" s="5"/>
      <c r="C746" s="5"/>
      <c r="D746" s="313"/>
      <c r="E746" s="313"/>
      <c r="F746" s="312"/>
      <c r="G746" s="95" t="s">
        <v>202</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846373.88</v>
      </c>
    </row>
    <row r="747" spans="2:35" ht="54">
      <c r="B747" s="5"/>
      <c r="C747" s="5"/>
      <c r="D747" s="313"/>
      <c r="E747" s="313"/>
      <c r="F747" s="312"/>
      <c r="G747" s="214" t="s">
        <v>271</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13"/>
      <c r="E748" s="313"/>
      <c r="F748" s="312"/>
      <c r="G748" s="214" t="s">
        <v>470</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13"/>
      <c r="E749" s="313"/>
      <c r="F749" s="312"/>
      <c r="G749" s="214" t="s">
        <v>272</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f>
        <v>124868</v>
      </c>
    </row>
    <row r="750" spans="2:35" ht="36">
      <c r="B750" s="5"/>
      <c r="C750" s="5"/>
      <c r="D750" s="313"/>
      <c r="E750" s="313"/>
      <c r="F750" s="312"/>
      <c r="G750" s="214" t="s">
        <v>47</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313"/>
      <c r="E751" s="313"/>
      <c r="F751" s="312"/>
      <c r="G751" s="214" t="s">
        <v>471</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13"/>
      <c r="E752" s="313"/>
      <c r="F752" s="312"/>
      <c r="G752" s="214" t="s">
        <v>119</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545</v>
      </c>
      <c r="C753" s="5"/>
      <c r="D753" s="313"/>
      <c r="E753" s="313"/>
      <c r="F753" s="312"/>
      <c r="G753" s="95" t="s">
        <v>120</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600</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11" t="s">
        <v>236</v>
      </c>
      <c r="E755" s="311" t="s">
        <v>646</v>
      </c>
      <c r="F755" s="312" t="s">
        <v>237</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11"/>
      <c r="E756" s="311"/>
      <c r="F756" s="312"/>
      <c r="G756" s="141" t="s">
        <v>121</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11" t="s">
        <v>238</v>
      </c>
      <c r="E757" s="311" t="s">
        <v>183</v>
      </c>
      <c r="F757" s="312" t="s">
        <v>250</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11"/>
      <c r="E758" s="311"/>
      <c r="F758" s="312"/>
      <c r="G758" s="141" t="s">
        <v>229</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635</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80" t="s">
        <v>539</v>
      </c>
      <c r="E760" s="280" t="s">
        <v>601</v>
      </c>
      <c r="F760" s="282" t="s">
        <v>634</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10"/>
      <c r="E761" s="310"/>
      <c r="F761" s="286"/>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80" t="s">
        <v>196</v>
      </c>
      <c r="E762" s="280" t="s">
        <v>601</v>
      </c>
      <c r="F762" s="282" t="s">
        <v>197</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81"/>
      <c r="E763" s="281"/>
      <c r="F763" s="283"/>
      <c r="G763" s="139" t="s">
        <v>78</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80" t="s">
        <v>224</v>
      </c>
      <c r="E764" s="280" t="s">
        <v>601</v>
      </c>
      <c r="F764" s="282" t="s">
        <v>225</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10"/>
      <c r="E765" s="310"/>
      <c r="F765" s="286"/>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201</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63779391.1</v>
      </c>
    </row>
    <row r="769" spans="22:29" ht="21">
      <c r="V769" s="270"/>
      <c r="AC769" s="266"/>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E465:E466"/>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Y3:Y4"/>
    <mergeCell ref="F40:F162"/>
    <mergeCell ref="N3:N4"/>
    <mergeCell ref="Z3:Z4"/>
    <mergeCell ref="AD3:AD4"/>
    <mergeCell ref="AE3:AE4"/>
    <mergeCell ref="AF3:AF4"/>
    <mergeCell ref="AG3:AG4"/>
    <mergeCell ref="AI3:AI4"/>
    <mergeCell ref="AH3:AH4"/>
    <mergeCell ref="D40:D162"/>
    <mergeCell ref="E40:E162"/>
    <mergeCell ref="B1:AI1"/>
    <mergeCell ref="D25:D27"/>
    <mergeCell ref="D23:D24"/>
    <mergeCell ref="E23:E24"/>
    <mergeCell ref="F23:F24"/>
    <mergeCell ref="AB3:AB4"/>
    <mergeCell ref="E6:E22"/>
    <mergeCell ref="D6:D22"/>
    <mergeCell ref="AA3:AA4"/>
    <mergeCell ref="M3:M4"/>
    <mergeCell ref="V3:V4"/>
    <mergeCell ref="O3:U3"/>
    <mergeCell ref="D33:D39"/>
    <mergeCell ref="E33:E39"/>
    <mergeCell ref="F33:F39"/>
    <mergeCell ref="D29:D31"/>
    <mergeCell ref="E29:E31"/>
    <mergeCell ref="F29:F31"/>
    <mergeCell ref="F6:F22"/>
    <mergeCell ref="I3:I4"/>
    <mergeCell ref="H3:H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716:F717"/>
    <mergeCell ref="E716:E717"/>
    <mergeCell ref="D716:D717"/>
    <mergeCell ref="D447:D448"/>
    <mergeCell ref="E447:E448"/>
    <mergeCell ref="F447:F448"/>
    <mergeCell ref="D449:D463"/>
    <mergeCell ref="E449:E463"/>
    <mergeCell ref="F449:F46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2016-06-07T11:42:52Z</dcterms:modified>
  <cp:category/>
  <cp:version/>
  <cp:contentType/>
  <cp:contentStatus/>
</cp:coreProperties>
</file>